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durban-my.sharepoint.com/personal/siphesihle_thusi_durban_gov_za/Documents/Desktop/"/>
    </mc:Choice>
  </mc:AlternateContent>
  <xr:revisionPtr revIDLastSave="0" documentId="8_{C66BCA28-598E-494B-A1E9-EEB7CA90EE94}" xr6:coauthVersionLast="47" xr6:coauthVersionMax="47" xr10:uidLastSave="{00000000-0000-0000-0000-000000000000}"/>
  <bookViews>
    <workbookView xWindow="28680" yWindow="-120" windowWidth="29040" windowHeight="15720" xr2:uid="{00000000-000D-0000-FFFF-FFFF00000000}"/>
  </bookViews>
  <sheets>
    <sheet name="Approvals" sheetId="1" r:id="rId1"/>
  </sheets>
  <definedNames>
    <definedName name="_xlnm._FilterDatabase" localSheetId="0" hidden="1">Approvals!$A$1:$Q$1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5" i="1"/>
  <c r="F3" i="1"/>
  <c r="H6" i="1"/>
  <c r="I6" i="1"/>
  <c r="H5" i="1" l="1"/>
  <c r="I5" i="1"/>
  <c r="H4" i="1" l="1"/>
  <c r="I4" i="1"/>
  <c r="L4" i="1" l="1"/>
  <c r="F4" i="1" s="1"/>
  <c r="H3" i="1" l="1"/>
  <c r="I3" i="1"/>
  <c r="H2" i="1" l="1"/>
  <c r="I2" i="1"/>
  <c r="L2" i="1"/>
  <c r="F2" i="1" s="1"/>
  <c r="F11" i="1" l="1"/>
  <c r="F10" i="1"/>
  <c r="F9" i="1"/>
  <c r="F8" i="1"/>
  <c r="F7" i="1"/>
  <c r="H11" i="1"/>
  <c r="I11" i="1"/>
  <c r="H10" i="1"/>
  <c r="I10" i="1"/>
  <c r="H9" i="1"/>
  <c r="I9" i="1"/>
  <c r="H8" i="1"/>
  <c r="I8" i="1"/>
  <c r="H7" i="1"/>
  <c r="I7" i="1"/>
  <c r="H16" i="1"/>
  <c r="H12" i="1"/>
  <c r="H20" i="1"/>
  <c r="H14" i="1"/>
  <c r="F23" i="1" l="1"/>
  <c r="H23" i="1"/>
  <c r="I23" i="1"/>
  <c r="H22" i="1"/>
  <c r="I22" i="1"/>
  <c r="L22" i="1"/>
  <c r="F12" i="1"/>
  <c r="I12" i="1"/>
  <c r="L12" i="1"/>
  <c r="F16" i="1"/>
  <c r="F15" i="1"/>
  <c r="F14" i="1"/>
  <c r="F13" i="1"/>
  <c r="I16" i="1"/>
  <c r="H15" i="1"/>
  <c r="I15" i="1"/>
  <c r="H13" i="1"/>
  <c r="I13" i="1"/>
  <c r="I14" i="1"/>
  <c r="L14" i="1"/>
  <c r="F21" i="1"/>
  <c r="F20" i="1"/>
  <c r="F19" i="1"/>
  <c r="F18" i="1"/>
  <c r="F26" i="1"/>
  <c r="H19" i="1"/>
  <c r="I19" i="1"/>
  <c r="H21" i="1"/>
  <c r="I21" i="1"/>
  <c r="I20" i="1"/>
  <c r="H18" i="1"/>
  <c r="I18" i="1"/>
  <c r="H17" i="1"/>
  <c r="I17" i="1"/>
  <c r="L17" i="1"/>
  <c r="F22" i="1" s="1"/>
  <c r="H26" i="1"/>
  <c r="I26" i="1"/>
  <c r="F25" i="1"/>
  <c r="F24" i="1"/>
  <c r="H25" i="1"/>
  <c r="I25" i="1"/>
  <c r="H24" i="1"/>
  <c r="I24" i="1"/>
  <c r="F31" i="1"/>
  <c r="F30" i="1"/>
  <c r="F29" i="1"/>
  <c r="F28" i="1"/>
  <c r="H31" i="1"/>
  <c r="I31" i="1"/>
  <c r="H29" i="1"/>
  <c r="I29" i="1"/>
  <c r="H28" i="1"/>
  <c r="I28" i="1"/>
  <c r="H27" i="1"/>
  <c r="I27" i="1"/>
  <c r="L27" i="1"/>
  <c r="F27" i="1" s="1"/>
  <c r="F41" i="1"/>
  <c r="F40" i="1"/>
  <c r="F39" i="1"/>
  <c r="F38" i="1"/>
  <c r="F37" i="1"/>
  <c r="H41" i="1"/>
  <c r="I41" i="1"/>
  <c r="H40" i="1"/>
  <c r="I40" i="1"/>
  <c r="H39" i="1"/>
  <c r="I39" i="1"/>
  <c r="H38" i="1"/>
  <c r="I38" i="1"/>
  <c r="H37" i="1"/>
  <c r="I37" i="1"/>
  <c r="F51" i="1"/>
  <c r="F50" i="1"/>
  <c r="F49" i="1"/>
  <c r="F47" i="1"/>
  <c r="H51" i="1"/>
  <c r="I51" i="1"/>
  <c r="H50" i="1"/>
  <c r="I50" i="1"/>
  <c r="H49" i="1"/>
  <c r="I49" i="1"/>
  <c r="H48" i="1"/>
  <c r="I48" i="1"/>
  <c r="H47" i="1"/>
  <c r="I47" i="1"/>
  <c r="F46" i="1"/>
  <c r="F45" i="1"/>
  <c r="F44" i="1"/>
  <c r="F43" i="1"/>
  <c r="F42" i="1"/>
  <c r="H46" i="1"/>
  <c r="I46" i="1"/>
  <c r="H45" i="1"/>
  <c r="I45" i="1"/>
  <c r="H44" i="1"/>
  <c r="I44" i="1"/>
  <c r="H43" i="1"/>
  <c r="I43" i="1"/>
  <c r="M43" i="1"/>
  <c r="F48" i="1" s="1"/>
  <c r="H42" i="1"/>
  <c r="I42" i="1"/>
  <c r="F56" i="1"/>
  <c r="F55" i="1"/>
  <c r="F54" i="1"/>
  <c r="H56" i="1"/>
  <c r="I56" i="1"/>
  <c r="H55" i="1"/>
  <c r="I55" i="1"/>
  <c r="H54" i="1"/>
  <c r="I54" i="1"/>
  <c r="H53" i="1"/>
  <c r="I53" i="1"/>
  <c r="N53" i="1"/>
  <c r="F53" i="1" s="1"/>
  <c r="H52" i="1"/>
  <c r="I52" i="1"/>
  <c r="L52" i="1"/>
  <c r="F52" i="1" s="1"/>
  <c r="F61" i="1"/>
  <c r="F60" i="1"/>
  <c r="F59" i="1"/>
  <c r="F58" i="1"/>
  <c r="H61" i="1"/>
  <c r="I61" i="1"/>
  <c r="H60" i="1"/>
  <c r="I60" i="1"/>
  <c r="H59" i="1"/>
  <c r="I59" i="1"/>
  <c r="H58" i="1"/>
  <c r="I58" i="1"/>
  <c r="H57" i="1"/>
  <c r="I57" i="1"/>
  <c r="L57" i="1"/>
  <c r="F66" i="1"/>
  <c r="F65" i="1"/>
  <c r="F64" i="1"/>
  <c r="F63" i="1"/>
  <c r="H66" i="1"/>
  <c r="I66" i="1"/>
  <c r="H65" i="1"/>
  <c r="I65" i="1"/>
  <c r="H63" i="1"/>
  <c r="I63" i="1"/>
  <c r="H64" i="1"/>
  <c r="I64" i="1"/>
  <c r="H62" i="1"/>
  <c r="I62" i="1"/>
  <c r="L62" i="1"/>
  <c r="L72" i="1"/>
  <c r="P78" i="1"/>
  <c r="P73" i="1"/>
  <c r="F76" i="1"/>
  <c r="F75" i="1"/>
  <c r="F74" i="1"/>
  <c r="F73" i="1"/>
  <c r="F72" i="1"/>
  <c r="H76" i="1"/>
  <c r="I76" i="1"/>
  <c r="H75" i="1"/>
  <c r="I75" i="1"/>
  <c r="H74" i="1"/>
  <c r="I74" i="1"/>
  <c r="H73" i="1"/>
  <c r="I73" i="1"/>
  <c r="H72" i="1"/>
  <c r="I72" i="1"/>
  <c r="F81" i="1"/>
  <c r="F80" i="1"/>
  <c r="F79" i="1"/>
  <c r="F77" i="1"/>
  <c r="H81" i="1"/>
  <c r="I81" i="1"/>
  <c r="H80" i="1"/>
  <c r="I80" i="1"/>
  <c r="H79" i="1"/>
  <c r="I79" i="1"/>
  <c r="H78" i="1"/>
  <c r="I78" i="1"/>
  <c r="H77" i="1"/>
  <c r="I77" i="1"/>
  <c r="F86" i="1"/>
  <c r="F85" i="1"/>
  <c r="F84" i="1"/>
  <c r="F83" i="1"/>
  <c r="F82" i="1"/>
  <c r="H86" i="1"/>
  <c r="I86" i="1"/>
  <c r="H85" i="1"/>
  <c r="I85" i="1"/>
  <c r="H84" i="1"/>
  <c r="I84" i="1"/>
  <c r="F62" i="1" l="1"/>
  <c r="F78" i="1"/>
  <c r="F17" i="1"/>
  <c r="F57" i="1"/>
  <c r="H83" i="1"/>
  <c r="I83" i="1"/>
  <c r="H82" i="1"/>
  <c r="I82" i="1"/>
  <c r="F87" i="1"/>
  <c r="H87" i="1"/>
  <c r="I87" i="1"/>
  <c r="F88" i="1"/>
  <c r="H88" i="1"/>
  <c r="I88" i="1"/>
  <c r="F91" i="1"/>
  <c r="F90" i="1"/>
  <c r="F89" i="1"/>
  <c r="H91" i="1"/>
  <c r="H90" i="1"/>
  <c r="I90" i="1"/>
  <c r="H89" i="1"/>
  <c r="I89" i="1"/>
  <c r="F96" i="1"/>
  <c r="F95" i="1"/>
  <c r="F94" i="1"/>
  <c r="F93" i="1"/>
  <c r="F92" i="1"/>
  <c r="H96" i="1"/>
  <c r="I96" i="1"/>
  <c r="I95" i="1"/>
  <c r="H94" i="1"/>
  <c r="I94" i="1"/>
  <c r="H93" i="1"/>
  <c r="I93" i="1"/>
  <c r="H92" i="1"/>
  <c r="I92" i="1"/>
  <c r="F100" i="1"/>
  <c r="F99" i="1"/>
  <c r="F98" i="1"/>
  <c r="F97" i="1"/>
  <c r="H100" i="1"/>
  <c r="I100" i="1"/>
  <c r="H99" i="1"/>
  <c r="I99" i="1"/>
  <c r="I98" i="1"/>
  <c r="H98" i="1"/>
  <c r="H97" i="1"/>
  <c r="I97" i="1"/>
  <c r="F106" i="1"/>
  <c r="F105" i="1"/>
  <c r="F104" i="1"/>
  <c r="F103" i="1"/>
  <c r="F102" i="1"/>
  <c r="H106" i="1"/>
  <c r="I106" i="1"/>
  <c r="H105" i="1"/>
  <c r="I105" i="1"/>
  <c r="H104" i="1"/>
  <c r="I104" i="1"/>
  <c r="H103" i="1"/>
  <c r="I103" i="1"/>
  <c r="H102" i="1"/>
  <c r="I102" i="1"/>
  <c r="F111" i="1"/>
  <c r="F110" i="1"/>
  <c r="F109" i="1"/>
  <c r="F108" i="1"/>
  <c r="F107" i="1"/>
  <c r="H111" i="1"/>
  <c r="I111" i="1"/>
  <c r="H110" i="1"/>
  <c r="I110" i="1"/>
  <c r="H109" i="1"/>
  <c r="I109" i="1"/>
  <c r="H108" i="1"/>
  <c r="I108" i="1"/>
  <c r="H107" i="1"/>
  <c r="I107" i="1"/>
  <c r="F116" i="1"/>
  <c r="F115" i="1"/>
  <c r="F114" i="1"/>
  <c r="F113" i="1"/>
  <c r="F112" i="1"/>
  <c r="H116" i="1"/>
  <c r="I116" i="1"/>
  <c r="H115" i="1"/>
  <c r="I115" i="1"/>
  <c r="H114" i="1"/>
  <c r="I114" i="1"/>
  <c r="H113" i="1"/>
  <c r="I113" i="1"/>
  <c r="I112" i="1"/>
  <c r="H112" i="1"/>
  <c r="H121" i="1"/>
  <c r="I121" i="1"/>
  <c r="F120" i="1"/>
  <c r="F119" i="1"/>
  <c r="F118" i="1"/>
  <c r="F117" i="1"/>
  <c r="H120" i="1"/>
  <c r="I120" i="1"/>
  <c r="H119" i="1"/>
  <c r="I119" i="1"/>
  <c r="H118" i="1"/>
  <c r="I118" i="1"/>
  <c r="I117" i="1"/>
  <c r="H117" i="1"/>
  <c r="F125" i="1"/>
  <c r="F124" i="1"/>
  <c r="F123" i="1"/>
  <c r="F122" i="1"/>
  <c r="F126" i="1"/>
  <c r="H126" i="1"/>
  <c r="I126" i="1"/>
  <c r="H125" i="1"/>
  <c r="I125" i="1"/>
  <c r="H124" i="1"/>
  <c r="I124" i="1"/>
  <c r="H123" i="1"/>
  <c r="I123" i="1"/>
  <c r="H122" i="1"/>
  <c r="I122" i="1"/>
  <c r="F131" i="1"/>
  <c r="F130" i="1"/>
  <c r="F129" i="1"/>
  <c r="F128" i="1"/>
  <c r="F127" i="1"/>
  <c r="H131" i="1"/>
  <c r="I131" i="1"/>
  <c r="H130" i="1"/>
  <c r="I130" i="1"/>
  <c r="H129" i="1"/>
  <c r="I129" i="1"/>
  <c r="H128" i="1"/>
  <c r="I128" i="1"/>
  <c r="H127" i="1"/>
  <c r="I127" i="1"/>
  <c r="H141" i="1"/>
  <c r="F141" i="1"/>
  <c r="F140" i="1"/>
  <c r="F139" i="1"/>
  <c r="F138" i="1"/>
  <c r="F137" i="1"/>
  <c r="I141" i="1"/>
  <c r="H140" i="1"/>
  <c r="I140" i="1"/>
  <c r="H139" i="1"/>
  <c r="I139" i="1"/>
  <c r="H138" i="1"/>
  <c r="I138" i="1"/>
  <c r="H137" i="1"/>
  <c r="I137" i="1"/>
  <c r="F146" i="1"/>
  <c r="H151" i="1"/>
  <c r="I151" i="1"/>
  <c r="F145" i="1"/>
  <c r="F144" i="1"/>
  <c r="F143" i="1"/>
  <c r="F142" i="1"/>
  <c r="I146" i="1"/>
  <c r="H145" i="1"/>
  <c r="I145" i="1"/>
  <c r="H144" i="1"/>
  <c r="I144" i="1"/>
  <c r="H143" i="1"/>
  <c r="I143" i="1"/>
  <c r="H142" i="1"/>
  <c r="I142" i="1"/>
  <c r="H150" i="1"/>
  <c r="F150" i="1"/>
  <c r="I150" i="1"/>
  <c r="F149" i="1"/>
  <c r="H149" i="1"/>
  <c r="I149" i="1"/>
  <c r="F148" i="1"/>
  <c r="H148" i="1"/>
  <c r="I148" i="1"/>
  <c r="F147" i="1"/>
  <c r="H147" i="1"/>
  <c r="I147" i="1"/>
  <c r="F156" i="1"/>
  <c r="H156" i="1"/>
  <c r="I156" i="1"/>
  <c r="F155" i="1"/>
  <c r="H155" i="1"/>
  <c r="I155" i="1"/>
  <c r="H154" i="1"/>
  <c r="I154" i="1"/>
  <c r="L154" i="1"/>
  <c r="F154" i="1" s="1"/>
  <c r="F153" i="1"/>
  <c r="H153" i="1"/>
  <c r="I153" i="1"/>
  <c r="H152" i="1"/>
  <c r="I152" i="1"/>
  <c r="L152" i="1"/>
  <c r="F152" i="1" s="1"/>
  <c r="F161" i="1"/>
  <c r="H161" i="1"/>
  <c r="I161" i="1"/>
  <c r="H159" i="1"/>
  <c r="F160" i="1"/>
  <c r="H160" i="1"/>
  <c r="I160" i="1"/>
  <c r="I159" i="1"/>
  <c r="F158" i="1"/>
  <c r="H158" i="1"/>
  <c r="I158" i="1"/>
  <c r="F157" i="1"/>
  <c r="H157" i="1"/>
  <c r="I157" i="1"/>
  <c r="F71" i="1"/>
  <c r="H71" i="1"/>
  <c r="H70" i="1"/>
  <c r="F159" i="1" l="1"/>
  <c r="H69" i="1"/>
  <c r="F68" i="1" l="1"/>
  <c r="H68" i="1"/>
  <c r="F67" i="1"/>
  <c r="H67" i="1"/>
  <c r="F36" i="1" l="1"/>
  <c r="F35" i="1"/>
  <c r="F34" i="1"/>
  <c r="F33" i="1"/>
  <c r="F32" i="1"/>
  <c r="H36" i="1"/>
  <c r="I36" i="1"/>
  <c r="H35" i="1" l="1"/>
  <c r="I35" i="1"/>
  <c r="H34" i="1" l="1"/>
  <c r="I34" i="1"/>
  <c r="H33" i="1" l="1"/>
  <c r="I33" i="1"/>
  <c r="H32" i="1"/>
  <c r="I32" i="1"/>
  <c r="I71" i="1" l="1"/>
  <c r="I70" i="1"/>
  <c r="I69" i="1"/>
  <c r="I68" i="1"/>
  <c r="I67" i="1"/>
</calcChain>
</file>

<file path=xl/sharedStrings.xml><?xml version="1.0" encoding="utf-8"?>
<sst xmlns="http://schemas.openxmlformats.org/spreadsheetml/2006/main" count="996" uniqueCount="38">
  <si>
    <t>Year</t>
  </si>
  <si>
    <t>Month</t>
  </si>
  <si>
    <t>Region</t>
  </si>
  <si>
    <t>Residential</t>
  </si>
  <si>
    <t>Commercial</t>
  </si>
  <si>
    <t>Industrial</t>
  </si>
  <si>
    <t>Other</t>
  </si>
  <si>
    <t>January</t>
  </si>
  <si>
    <t>North</t>
  </si>
  <si>
    <t>South</t>
  </si>
  <si>
    <t>Central</t>
  </si>
  <si>
    <t>Inner West</t>
  </si>
  <si>
    <t>Outer West</t>
  </si>
  <si>
    <t>October</t>
  </si>
  <si>
    <t>September</t>
  </si>
  <si>
    <t>August</t>
  </si>
  <si>
    <t>July</t>
  </si>
  <si>
    <t>June</t>
  </si>
  <si>
    <t>May</t>
  </si>
  <si>
    <t>April</t>
  </si>
  <si>
    <t>March</t>
  </si>
  <si>
    <t>February</t>
  </si>
  <si>
    <t>New</t>
  </si>
  <si>
    <t>Resubmitted</t>
  </si>
  <si>
    <t>Value</t>
  </si>
  <si>
    <t>Dwelling</t>
  </si>
  <si>
    <t>November</t>
  </si>
  <si>
    <t>December</t>
  </si>
  <si>
    <t>Township</t>
  </si>
  <si>
    <t>Meters Squared</t>
  </si>
  <si>
    <t>MBW (Minor Building Works)</t>
  </si>
  <si>
    <t>&gt;500SQM (60 d) (Buildings that are above 500sqm in size and whose applications are required by law to be processed within 60 days, as opposed to 30 days due to their larger size.)</t>
  </si>
  <si>
    <t>Additions and alterations</t>
  </si>
  <si>
    <t>`</t>
  </si>
  <si>
    <t xml:space="preserve">Approved/passed </t>
  </si>
  <si>
    <t>22+1</t>
  </si>
  <si>
    <t>8+5</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</si>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</sst>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quot;R&quot;#,##0"/>
    <numFmt numFmtId="166" formatCode="&quot;R&quot;#,##0.00"/>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20">
    <xf numFmtId="0" fontId="0" fillId="0" borderId="0" xfId="0"/>
    <xf numFmtId="0" fontId="1" fillId="0" borderId="0" xfId="0" applyFont="1"/>
    <xf numFmtId="164" fontId="1" fillId="0" borderId="0" xfId="1" applyNumberFormat="1" applyFont="1"/>
    <xf numFmtId="164" fontId="0" fillId="0" borderId="0" xfId="1" applyNumberFormat="1" applyFont="1"/>
    <xf numFmtId="165" fontId="0" fillId="0" borderId="0" xfId="2" applyNumberFormat="1" applyFont="1"/>
    <xf numFmtId="1" fontId="0" fillId="0" borderId="0" xfId="0" applyNumberFormat="1"/>
    <xf numFmtId="3" fontId="0" fillId="0" borderId="0" xfId="0" applyNumberFormat="1"/>
    <xf numFmtId="0" fontId="1" fillId="0" borderId="0" xfId="0" applyFont="1" applyAlignment="1">
      <alignment vertical="center"/>
    </xf>
    <xf numFmtId="0" fontId="1" fillId="0" borderId="0" xfId="0" applyFont="1" applyAlignment="1">
      <alignment vertical="center" wrapText="1"/>
    </xf>
    <xf numFmtId="165" fontId="1" fillId="0" borderId="0" xfId="2" applyNumberFormat="1" applyFont="1" applyAlignment="1">
      <alignment vertical="center"/>
    </xf>
    <xf numFmtId="0" fontId="0" fillId="0" borderId="0" xfId="0" applyAlignment="1">
      <alignment vertical="center"/>
    </xf>
    <xf numFmtId="3" fontId="0" fillId="0" borderId="0" xfId="0" applyNumberFormat="1" applyAlignment="1">
      <alignment horizontal="right"/>
    </xf>
    <xf numFmtId="0" fontId="0" fillId="0" borderId="0" xfId="0" applyAlignment="1">
      <alignment vertical="center" wrapText="1"/>
    </xf>
    <xf numFmtId="165" fontId="2" fillId="0" borderId="0" xfId="2" applyNumberFormat="1" applyFont="1" applyAlignment="1">
      <alignment vertical="center"/>
    </xf>
    <xf numFmtId="3" fontId="0" fillId="0" borderId="0" xfId="0" applyNumberFormat="1" applyAlignment="1">
      <alignment vertical="center"/>
    </xf>
    <xf numFmtId="3" fontId="0" fillId="0" borderId="0" xfId="0" applyNumberFormat="1" applyAlignment="1">
      <alignment horizontal="right" vertical="center"/>
    </xf>
    <xf numFmtId="0" fontId="2" fillId="0" borderId="0" xfId="2" applyNumberFormat="1" applyFont="1" applyAlignment="1">
      <alignment vertical="center"/>
    </xf>
    <xf numFmtId="0" fontId="0" fillId="0" borderId="0" xfId="2" applyNumberFormat="1" applyFont="1"/>
    <xf numFmtId="0" fontId="0" fillId="0" borderId="0" xfId="0" applyAlignment="1">
      <alignment horizontal="right"/>
    </xf>
    <xf numFmtId="166" fontId="2" fillId="0" borderId="0" xfId="2" applyNumberFormat="1" applyFont="1" applyAlignment="1">
      <alignment vertical="center"/>
    </xf>
  </cellXfs>
  <cellStyles count="4">
    <cellStyle name="Comma" xfId="1" builtinId="3"/>
    <cellStyle name="Comma 2" xfId="3" xr:uid="{00000000-0005-0000-0000-000001000000}"/>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489"/>
  <sheetViews>
    <sheetView tabSelected="1" zoomScaleNormal="100" workbookViewId="0">
      <selection activeCell="F7" sqref="F7:F11"/>
    </sheetView>
  </sheetViews>
  <sheetFormatPr defaultRowHeight="14.5" x14ac:dyDescent="0.35"/>
  <cols>
    <col min="1" max="1" width="5.453125" customWidth="1"/>
    <col min="2" max="2" width="12" customWidth="1"/>
    <col min="3" max="3" width="15.453125" customWidth="1"/>
    <col min="4" max="4" width="9" customWidth="1"/>
    <col min="5" max="5" width="14.1796875" customWidth="1"/>
    <col min="6" max="6" width="21.1796875" customWidth="1"/>
    <col min="7" max="7" width="14.54296875" customWidth="1"/>
    <col min="8" max="8" width="21" style="4" customWidth="1"/>
    <col min="9" max="9" width="16.1796875" customWidth="1"/>
    <col min="10" max="10" width="14.1796875" customWidth="1"/>
    <col min="11" max="11" width="22.54296875" bestFit="1" customWidth="1"/>
    <col min="12" max="12" width="12.81640625" bestFit="1" customWidth="1"/>
    <col min="13" max="13" width="13.453125" bestFit="1" customWidth="1"/>
    <col min="14" max="14" width="11.1796875" bestFit="1" customWidth="1"/>
    <col min="15" max="15" width="8.1796875" bestFit="1" customWidth="1"/>
    <col min="16" max="16" width="6.1796875" bestFit="1" customWidth="1"/>
    <col min="17" max="17" width="8.54296875" style="2" customWidth="1"/>
  </cols>
  <sheetData>
    <row r="1" spans="1:17" s="10" customFormat="1" ht="32.25" customHeight="1" x14ac:dyDescent="0.35">
      <c r="A1" s="7" t="s">
        <v>0</v>
      </c>
      <c r="B1" s="7" t="s">
        <v>1</v>
      </c>
      <c r="C1" s="7" t="s">
        <v>2</v>
      </c>
      <c r="D1" s="7" t="s">
        <v>22</v>
      </c>
      <c r="E1" s="7" t="s">
        <v>23</v>
      </c>
      <c r="F1" s="8" t="s">
        <v>34</v>
      </c>
      <c r="G1" s="7" t="s">
        <v>31</v>
      </c>
      <c r="H1" s="9" t="s">
        <v>24</v>
      </c>
      <c r="I1" s="7" t="s">
        <v>29</v>
      </c>
      <c r="J1" s="7" t="s">
        <v>30</v>
      </c>
      <c r="K1" s="7" t="s">
        <v>32</v>
      </c>
      <c r="L1" s="7" t="s">
        <v>25</v>
      </c>
      <c r="M1" s="7" t="s">
        <v>3</v>
      </c>
      <c r="N1" s="7" t="s">
        <v>4</v>
      </c>
      <c r="O1" s="7" t="s">
        <v>5</v>
      </c>
      <c r="P1" s="7" t="s">
        <v>6</v>
      </c>
      <c r="Q1" s="7" t="s">
        <v>28</v>
      </c>
    </row>
    <row r="2" spans="1:17" s="10" customFormat="1" x14ac:dyDescent="0.35">
      <c r="A2" s="10">
        <v>2025</v>
      </c>
      <c r="B2" s="10" t="s">
        <v>21</v>
      </c>
      <c r="C2" s="10" t="s">
        <v>8</v>
      </c>
      <c r="D2" s="10">
        <v>0</v>
      </c>
      <c r="E2" s="10">
        <v>0</v>
      </c>
      <c r="F2" s="10">
        <f>SUM(J2:Q2)</f>
        <v>73</v>
      </c>
      <c r="G2" s="10">
        <v>0</v>
      </c>
      <c r="H2" s="19">
        <f>41265000+2455000+36382000</f>
        <v>80102000</v>
      </c>
      <c r="I2" s="10">
        <f>4585+558+3349</f>
        <v>8492</v>
      </c>
      <c r="J2" s="10">
        <v>0</v>
      </c>
      <c r="K2" s="10">
        <v>62</v>
      </c>
      <c r="L2" s="10">
        <f>6+5</f>
        <v>11</v>
      </c>
      <c r="M2" s="10">
        <v>0</v>
      </c>
      <c r="N2" s="10">
        <v>0</v>
      </c>
      <c r="O2" s="10">
        <v>0</v>
      </c>
      <c r="P2" s="10">
        <v>0</v>
      </c>
      <c r="Q2" s="10">
        <v>0</v>
      </c>
    </row>
    <row r="3" spans="1:17" s="10" customFormat="1" x14ac:dyDescent="0.35">
      <c r="A3" s="10">
        <v>2025</v>
      </c>
      <c r="B3" s="10" t="s">
        <v>21</v>
      </c>
      <c r="C3" s="10" t="s">
        <v>9</v>
      </c>
      <c r="D3" s="10">
        <v>0</v>
      </c>
      <c r="E3" s="10">
        <v>0</v>
      </c>
      <c r="F3" s="10">
        <f>SUM(K3:Q3)</f>
        <v>33</v>
      </c>
      <c r="G3" s="10">
        <v>0</v>
      </c>
      <c r="H3" s="19">
        <f>16362000+5875000+2052000+70503000+1940000+19201000</f>
        <v>115933000</v>
      </c>
      <c r="I3" s="10">
        <f>1818+625+228+7581+366+1926</f>
        <v>12544</v>
      </c>
      <c r="J3" s="10">
        <v>0</v>
      </c>
      <c r="K3" s="10">
        <v>26</v>
      </c>
      <c r="L3" s="10">
        <v>2</v>
      </c>
      <c r="M3" s="10">
        <v>0</v>
      </c>
      <c r="N3" s="10">
        <v>2</v>
      </c>
      <c r="O3" s="10">
        <v>1</v>
      </c>
      <c r="P3" s="10">
        <v>1</v>
      </c>
      <c r="Q3" s="10">
        <v>1</v>
      </c>
    </row>
    <row r="4" spans="1:17" s="10" customFormat="1" x14ac:dyDescent="0.35">
      <c r="A4" s="10">
        <v>2025</v>
      </c>
      <c r="B4" s="10" t="s">
        <v>21</v>
      </c>
      <c r="C4" s="10" t="s">
        <v>10</v>
      </c>
      <c r="D4" s="10">
        <v>0</v>
      </c>
      <c r="E4" s="10">
        <v>0</v>
      </c>
      <c r="F4" s="10">
        <f>SUM(K4:Q4)</f>
        <v>172</v>
      </c>
      <c r="G4" s="10">
        <v>0</v>
      </c>
      <c r="H4" s="19">
        <f>9135000+4409000+17052000+18546000+346006000</f>
        <v>395148000</v>
      </c>
      <c r="I4" s="10">
        <f>1015+1002+1814+1973+38670</f>
        <v>44474</v>
      </c>
      <c r="J4" s="10">
        <v>0</v>
      </c>
      <c r="K4" s="10">
        <v>128</v>
      </c>
      <c r="L4" s="10">
        <f>2+10</f>
        <v>12</v>
      </c>
      <c r="M4" s="10">
        <v>0</v>
      </c>
      <c r="N4" s="10">
        <v>0</v>
      </c>
      <c r="O4" s="10">
        <v>0</v>
      </c>
      <c r="P4" s="10">
        <v>0</v>
      </c>
      <c r="Q4" s="10">
        <v>32</v>
      </c>
    </row>
    <row r="5" spans="1:17" s="10" customFormat="1" x14ac:dyDescent="0.35">
      <c r="A5" s="10">
        <v>2025</v>
      </c>
      <c r="B5" s="10" t="s">
        <v>21</v>
      </c>
      <c r="C5" s="10" t="s">
        <v>11</v>
      </c>
      <c r="D5" s="10">
        <v>0</v>
      </c>
      <c r="E5" s="10">
        <v>0</v>
      </c>
      <c r="F5" s="10">
        <f>SUM(K5:Q5)</f>
        <v>43</v>
      </c>
      <c r="G5" s="10">
        <v>0</v>
      </c>
      <c r="H5" s="19">
        <f>17755000+1572000+16960000</f>
        <v>36287000</v>
      </c>
      <c r="I5" s="10">
        <f>3350+169+1872</f>
        <v>5391</v>
      </c>
      <c r="J5" s="10">
        <v>0</v>
      </c>
      <c r="K5" s="10">
        <v>43</v>
      </c>
      <c r="L5" s="10">
        <v>0</v>
      </c>
      <c r="M5" s="10">
        <v>0</v>
      </c>
      <c r="N5" s="10">
        <v>0</v>
      </c>
      <c r="O5" s="10">
        <v>0</v>
      </c>
      <c r="P5" s="10">
        <v>0</v>
      </c>
      <c r="Q5" s="10">
        <v>0</v>
      </c>
    </row>
    <row r="6" spans="1:17" s="10" customFormat="1" x14ac:dyDescent="0.35">
      <c r="A6" s="10">
        <v>2025</v>
      </c>
      <c r="B6" s="10" t="s">
        <v>21</v>
      </c>
      <c r="C6" s="10" t="s">
        <v>12</v>
      </c>
      <c r="D6" s="10">
        <v>0</v>
      </c>
      <c r="E6" s="10">
        <v>0</v>
      </c>
      <c r="F6" s="10">
        <f>SUM(K6:Q6)</f>
        <v>70</v>
      </c>
      <c r="G6" s="10">
        <v>0</v>
      </c>
      <c r="H6" s="19">
        <f>26856000+6129000+50382000+23988000+29967000</f>
        <v>137322000</v>
      </c>
      <c r="I6" s="10">
        <f>2984+652+9506+2473+3343</f>
        <v>18958</v>
      </c>
      <c r="J6" s="10">
        <v>0</v>
      </c>
      <c r="K6" s="10">
        <v>49</v>
      </c>
      <c r="L6" s="10">
        <v>9</v>
      </c>
      <c r="M6" s="10">
        <v>0</v>
      </c>
      <c r="N6" s="10">
        <v>0</v>
      </c>
      <c r="O6" s="10">
        <v>1</v>
      </c>
      <c r="P6" s="10">
        <v>1</v>
      </c>
      <c r="Q6" s="10">
        <v>10</v>
      </c>
    </row>
    <row r="7" spans="1:17" s="10" customFormat="1" x14ac:dyDescent="0.35">
      <c r="A7" s="10">
        <v>2025</v>
      </c>
      <c r="B7" s="10" t="s">
        <v>7</v>
      </c>
      <c r="C7" s="10" t="s">
        <v>8</v>
      </c>
      <c r="D7" s="10">
        <v>0</v>
      </c>
      <c r="E7" s="10">
        <v>0</v>
      </c>
      <c r="F7" s="10">
        <f>SUM(J7:Q7)</f>
        <v>57</v>
      </c>
      <c r="G7" s="7">
        <v>0</v>
      </c>
      <c r="H7" s="19">
        <f>2484000+85490000+2511000+67843000</f>
        <v>158328000</v>
      </c>
      <c r="I7" s="10">
        <f>276+8300+270+7160</f>
        <v>16006</v>
      </c>
      <c r="J7" s="10">
        <v>0</v>
      </c>
      <c r="K7" s="10">
        <v>53</v>
      </c>
      <c r="L7" s="10">
        <v>2</v>
      </c>
      <c r="M7" s="10">
        <v>0</v>
      </c>
      <c r="N7" s="10">
        <v>1</v>
      </c>
      <c r="O7" s="10">
        <v>0</v>
      </c>
      <c r="P7" s="10">
        <v>1</v>
      </c>
      <c r="Q7" s="10">
        <v>0</v>
      </c>
    </row>
    <row r="8" spans="1:17" s="10" customFormat="1" x14ac:dyDescent="0.35">
      <c r="A8" s="10">
        <v>2025</v>
      </c>
      <c r="B8" s="10" t="s">
        <v>7</v>
      </c>
      <c r="C8" s="10" t="s">
        <v>9</v>
      </c>
      <c r="D8" s="10">
        <v>0</v>
      </c>
      <c r="E8" s="10">
        <v>0</v>
      </c>
      <c r="F8" s="10">
        <f>SUM(J8:Q8)</f>
        <v>18</v>
      </c>
      <c r="G8" s="7">
        <v>0</v>
      </c>
      <c r="H8" s="19">
        <f>12744000+9000+9992000</f>
        <v>22745000</v>
      </c>
      <c r="I8" s="10">
        <f>1416+1+900</f>
        <v>2317</v>
      </c>
      <c r="J8" s="10">
        <v>0</v>
      </c>
      <c r="K8" s="10">
        <v>9</v>
      </c>
      <c r="L8" s="10">
        <v>5</v>
      </c>
      <c r="M8" s="10">
        <v>1</v>
      </c>
      <c r="N8" s="10">
        <v>1</v>
      </c>
      <c r="O8" s="10">
        <v>1</v>
      </c>
      <c r="P8" s="10">
        <v>0</v>
      </c>
      <c r="Q8" s="10">
        <v>1</v>
      </c>
    </row>
    <row r="9" spans="1:17" s="10" customFormat="1" x14ac:dyDescent="0.35">
      <c r="A9" s="10">
        <v>2025</v>
      </c>
      <c r="B9" s="10" t="s">
        <v>7</v>
      </c>
      <c r="C9" s="10" t="s">
        <v>10</v>
      </c>
      <c r="D9" s="10">
        <v>0</v>
      </c>
      <c r="E9" s="10">
        <v>0</v>
      </c>
      <c r="F9" s="10">
        <f>SUM(J9:Q9)</f>
        <v>76</v>
      </c>
      <c r="G9" s="7">
        <v>0</v>
      </c>
      <c r="H9" s="19">
        <f>13194000+73367000+33759000+7935000+81451000</f>
        <v>209706000</v>
      </c>
      <c r="I9" s="10">
        <f>1466+7805+3751+818+9028</f>
        <v>22868</v>
      </c>
      <c r="J9" s="10">
        <v>0</v>
      </c>
      <c r="K9" s="10">
        <v>64</v>
      </c>
      <c r="L9" s="10">
        <v>4</v>
      </c>
      <c r="M9" s="10">
        <v>0</v>
      </c>
      <c r="N9" s="10">
        <v>0</v>
      </c>
      <c r="O9" s="10">
        <v>0</v>
      </c>
      <c r="P9" s="10">
        <v>0</v>
      </c>
      <c r="Q9" s="10">
        <v>8</v>
      </c>
    </row>
    <row r="10" spans="1:17" s="10" customFormat="1" x14ac:dyDescent="0.35">
      <c r="A10" s="10">
        <v>2025</v>
      </c>
      <c r="B10" s="10" t="s">
        <v>7</v>
      </c>
      <c r="C10" s="10" t="s">
        <v>11</v>
      </c>
      <c r="D10" s="10">
        <v>0</v>
      </c>
      <c r="E10" s="10">
        <v>0</v>
      </c>
      <c r="F10" s="10">
        <f>SUM(J10:Q10)</f>
        <v>46</v>
      </c>
      <c r="G10" s="7">
        <v>0</v>
      </c>
      <c r="H10" s="19">
        <f>7623000+21479000+10684000</f>
        <v>39786000</v>
      </c>
      <c r="I10" s="10">
        <f>847+2285+1188</f>
        <v>4320</v>
      </c>
      <c r="J10" s="10">
        <v>0</v>
      </c>
      <c r="K10" s="10">
        <v>20</v>
      </c>
      <c r="L10" s="10">
        <v>2</v>
      </c>
      <c r="M10" s="10">
        <v>24</v>
      </c>
      <c r="N10" s="10">
        <v>0</v>
      </c>
      <c r="O10" s="10">
        <v>0</v>
      </c>
      <c r="P10" s="10">
        <v>0</v>
      </c>
      <c r="Q10" s="10">
        <v>0</v>
      </c>
    </row>
    <row r="11" spans="1:17" s="10" customFormat="1" x14ac:dyDescent="0.35">
      <c r="A11" s="10">
        <v>2025</v>
      </c>
      <c r="B11" s="10" t="s">
        <v>7</v>
      </c>
      <c r="C11" s="10" t="s">
        <v>12</v>
      </c>
      <c r="D11" s="10">
        <v>0</v>
      </c>
      <c r="E11" s="10">
        <v>0</v>
      </c>
      <c r="F11" s="10">
        <f>SUM(J11:Q11)</f>
        <v>38</v>
      </c>
      <c r="G11" s="7">
        <v>0</v>
      </c>
      <c r="H11" s="19">
        <f>28269000+17127000</f>
        <v>45396000</v>
      </c>
      <c r="I11" s="10">
        <f>3141+1895</f>
        <v>5036</v>
      </c>
      <c r="J11" s="10">
        <v>0</v>
      </c>
      <c r="K11" s="10">
        <v>27</v>
      </c>
      <c r="L11" s="10">
        <v>8</v>
      </c>
      <c r="M11" s="10">
        <v>0</v>
      </c>
      <c r="N11" s="10">
        <v>0</v>
      </c>
      <c r="O11" s="10">
        <v>0</v>
      </c>
      <c r="P11" s="10">
        <v>0</v>
      </c>
      <c r="Q11" s="10">
        <v>3</v>
      </c>
    </row>
    <row r="12" spans="1:17" s="10" customFormat="1" x14ac:dyDescent="0.35">
      <c r="A12" s="10">
        <v>2024</v>
      </c>
      <c r="B12" s="10" t="s">
        <v>27</v>
      </c>
      <c r="C12" s="10" t="s">
        <v>8</v>
      </c>
      <c r="D12" s="10">
        <v>0</v>
      </c>
      <c r="E12" s="10">
        <v>0</v>
      </c>
      <c r="F12" s="10">
        <f t="shared" ref="F12:F28" si="0">SUM(J7:Q7)</f>
        <v>57</v>
      </c>
      <c r="G12" s="10">
        <v>0</v>
      </c>
      <c r="H12" s="19">
        <f>10233000+2033000+597000+54044000+38893000</f>
        <v>105800000</v>
      </c>
      <c r="I12" s="10">
        <f>1137+462+58+10197+3618</f>
        <v>15472</v>
      </c>
      <c r="J12" s="10">
        <v>0</v>
      </c>
      <c r="K12" s="10">
        <v>55</v>
      </c>
      <c r="L12" s="10">
        <f>3+2</f>
        <v>5</v>
      </c>
      <c r="M12" s="10">
        <v>0</v>
      </c>
      <c r="N12" s="10">
        <v>1</v>
      </c>
      <c r="O12" s="10">
        <v>1</v>
      </c>
      <c r="P12" s="10">
        <v>0</v>
      </c>
      <c r="Q12" s="10">
        <v>0</v>
      </c>
    </row>
    <row r="13" spans="1:17" s="10" customFormat="1" x14ac:dyDescent="0.35">
      <c r="A13" s="10">
        <v>2024</v>
      </c>
      <c r="B13" s="10" t="s">
        <v>27</v>
      </c>
      <c r="C13" s="10" t="s">
        <v>9</v>
      </c>
      <c r="D13" s="10">
        <v>0</v>
      </c>
      <c r="E13" s="10">
        <v>0</v>
      </c>
      <c r="F13" s="10">
        <f t="shared" si="0"/>
        <v>18</v>
      </c>
      <c r="G13" s="10">
        <v>0</v>
      </c>
      <c r="H13" s="19">
        <f>12798000+2422000+3102000</f>
        <v>18322000</v>
      </c>
      <c r="I13" s="10">
        <f>1422+457+308</f>
        <v>2187</v>
      </c>
      <c r="J13" s="10">
        <v>0</v>
      </c>
      <c r="K13" s="10">
        <v>6</v>
      </c>
      <c r="L13" s="10">
        <v>4</v>
      </c>
      <c r="M13" s="10">
        <v>0</v>
      </c>
      <c r="N13" s="10">
        <v>0</v>
      </c>
      <c r="O13" s="10">
        <v>2</v>
      </c>
      <c r="P13" s="10">
        <v>0</v>
      </c>
      <c r="Q13" s="10">
        <v>0</v>
      </c>
    </row>
    <row r="14" spans="1:17" s="10" customFormat="1" x14ac:dyDescent="0.35">
      <c r="A14" s="10">
        <v>2024</v>
      </c>
      <c r="B14" s="10" t="s">
        <v>27</v>
      </c>
      <c r="C14" s="10" t="s">
        <v>10</v>
      </c>
      <c r="D14" s="10">
        <v>0</v>
      </c>
      <c r="E14" s="10">
        <v>0</v>
      </c>
      <c r="F14" s="10">
        <f t="shared" si="0"/>
        <v>76</v>
      </c>
      <c r="G14" s="10">
        <v>0</v>
      </c>
      <c r="H14" s="19">
        <f>16803000+2165000+15839000+8413000+12201000+93032000</f>
        <v>148453000</v>
      </c>
      <c r="I14" s="10">
        <f>1867+492+1685+895+2302+10198</f>
        <v>17439</v>
      </c>
      <c r="J14" s="10">
        <v>0</v>
      </c>
      <c r="K14" s="10">
        <v>68</v>
      </c>
      <c r="L14" s="10">
        <f>1+3</f>
        <v>4</v>
      </c>
      <c r="M14" s="10">
        <v>12</v>
      </c>
      <c r="N14" s="10">
        <v>0</v>
      </c>
      <c r="O14" s="10">
        <v>0</v>
      </c>
      <c r="P14" s="10">
        <v>0</v>
      </c>
      <c r="Q14" s="10">
        <v>54</v>
      </c>
    </row>
    <row r="15" spans="1:17" s="10" customFormat="1" x14ac:dyDescent="0.35">
      <c r="A15" s="10">
        <v>2024</v>
      </c>
      <c r="B15" s="10" t="s">
        <v>27</v>
      </c>
      <c r="C15" s="10" t="s">
        <v>11</v>
      </c>
      <c r="D15" s="10">
        <v>0</v>
      </c>
      <c r="E15" s="10">
        <v>0</v>
      </c>
      <c r="F15" s="10">
        <f t="shared" si="0"/>
        <v>46</v>
      </c>
      <c r="G15" s="10">
        <v>0</v>
      </c>
      <c r="H15" s="19">
        <f>11557000+7696000+38156000</f>
        <v>57409000</v>
      </c>
      <c r="I15" s="10">
        <f>1122+145+4229</f>
        <v>5496</v>
      </c>
      <c r="J15" s="10">
        <v>0</v>
      </c>
      <c r="K15" s="10">
        <v>42</v>
      </c>
      <c r="L15" s="10">
        <v>0</v>
      </c>
      <c r="M15" s="10">
        <v>0</v>
      </c>
      <c r="N15" s="10">
        <v>1</v>
      </c>
      <c r="O15" s="10">
        <v>4</v>
      </c>
      <c r="P15" s="10">
        <v>0</v>
      </c>
      <c r="Q15" s="10">
        <v>0</v>
      </c>
    </row>
    <row r="16" spans="1:17" s="10" customFormat="1" x14ac:dyDescent="0.35">
      <c r="A16" s="10">
        <v>2024</v>
      </c>
      <c r="B16" s="10" t="s">
        <v>27</v>
      </c>
      <c r="C16" s="10" t="s">
        <v>12</v>
      </c>
      <c r="D16" s="10">
        <v>0</v>
      </c>
      <c r="E16" s="10">
        <v>0</v>
      </c>
      <c r="F16" s="12">
        <f t="shared" si="0"/>
        <v>38</v>
      </c>
      <c r="G16" s="10">
        <v>0</v>
      </c>
      <c r="H16" s="19">
        <f>15939000+6956000+49206000+1065000+28752000</f>
        <v>101918000</v>
      </c>
      <c r="I16" s="10">
        <f>1771+740+5291+201+3144</f>
        <v>11147</v>
      </c>
      <c r="J16" s="10">
        <v>0</v>
      </c>
      <c r="K16" s="10">
        <v>41</v>
      </c>
      <c r="L16" s="10">
        <v>4</v>
      </c>
      <c r="M16" s="10">
        <v>0</v>
      </c>
      <c r="N16" s="10">
        <v>1</v>
      </c>
      <c r="O16" s="10">
        <v>1</v>
      </c>
      <c r="P16" s="10">
        <v>0</v>
      </c>
      <c r="Q16" s="10">
        <v>2</v>
      </c>
    </row>
    <row r="17" spans="1:17" s="10" customFormat="1" x14ac:dyDescent="0.35">
      <c r="A17" s="10">
        <v>2024</v>
      </c>
      <c r="B17" s="10" t="s">
        <v>26</v>
      </c>
      <c r="C17" s="10" t="s">
        <v>8</v>
      </c>
      <c r="D17" s="10">
        <v>0</v>
      </c>
      <c r="E17" s="10">
        <v>0</v>
      </c>
      <c r="F17" s="12">
        <f t="shared" si="0"/>
        <v>62</v>
      </c>
      <c r="G17" s="10">
        <v>0</v>
      </c>
      <c r="H17" s="19">
        <f>13221000+4220000+209763000+2931000+71015000</f>
        <v>301150000</v>
      </c>
      <c r="I17" s="10">
        <f>1469+959+23307+553+5787</f>
        <v>32075</v>
      </c>
      <c r="J17" s="10">
        <v>0</v>
      </c>
      <c r="K17" s="10">
        <v>100</v>
      </c>
      <c r="L17" s="10">
        <f>4+6</f>
        <v>10</v>
      </c>
      <c r="M17" s="10">
        <v>1</v>
      </c>
      <c r="N17" s="10">
        <v>0</v>
      </c>
      <c r="O17" s="10">
        <v>1</v>
      </c>
      <c r="P17" s="10">
        <v>0</v>
      </c>
      <c r="Q17" s="10">
        <v>0</v>
      </c>
    </row>
    <row r="18" spans="1:17" s="10" customFormat="1" x14ac:dyDescent="0.35">
      <c r="A18" s="10">
        <v>2024</v>
      </c>
      <c r="B18" s="10" t="s">
        <v>26</v>
      </c>
      <c r="C18" s="10" t="s">
        <v>9</v>
      </c>
      <c r="D18" s="10">
        <v>0</v>
      </c>
      <c r="E18" s="10">
        <v>0</v>
      </c>
      <c r="F18" s="12">
        <f t="shared" si="0"/>
        <v>12</v>
      </c>
      <c r="G18" s="10">
        <v>0</v>
      </c>
      <c r="H18" s="19">
        <f>14346000+9000+56592000</f>
        <v>70947000</v>
      </c>
      <c r="I18" s="10">
        <f>1594+1+6195</f>
        <v>7790</v>
      </c>
      <c r="J18" s="10">
        <v>0</v>
      </c>
      <c r="K18" s="10">
        <v>21</v>
      </c>
      <c r="L18" s="10">
        <v>10</v>
      </c>
      <c r="M18" s="10">
        <v>2</v>
      </c>
      <c r="N18" s="10">
        <v>1</v>
      </c>
      <c r="O18" s="10">
        <v>3</v>
      </c>
      <c r="P18" s="10">
        <v>0</v>
      </c>
      <c r="Q18" s="10">
        <v>0</v>
      </c>
    </row>
    <row r="19" spans="1:17" s="10" customFormat="1" x14ac:dyDescent="0.35">
      <c r="A19" s="10">
        <v>2024</v>
      </c>
      <c r="B19" s="10" t="s">
        <v>26</v>
      </c>
      <c r="C19" s="10" t="s">
        <v>10</v>
      </c>
      <c r="D19" s="10">
        <v>0</v>
      </c>
      <c r="E19" s="10">
        <v>0</v>
      </c>
      <c r="F19" s="12">
        <f t="shared" si="0"/>
        <v>138</v>
      </c>
      <c r="G19" s="10">
        <v>0</v>
      </c>
      <c r="H19" s="19">
        <f>58562000+20119000+93755000</f>
        <v>172436000</v>
      </c>
      <c r="I19" s="10">
        <f>6230+3796+10158</f>
        <v>20184</v>
      </c>
      <c r="J19" s="10">
        <v>0</v>
      </c>
      <c r="K19" s="10">
        <v>109</v>
      </c>
      <c r="L19" s="10">
        <v>0</v>
      </c>
      <c r="M19" s="10">
        <v>0</v>
      </c>
      <c r="N19" s="10">
        <v>0</v>
      </c>
      <c r="O19" s="10">
        <v>0</v>
      </c>
      <c r="P19" s="10">
        <v>0</v>
      </c>
      <c r="Q19" s="10">
        <v>0</v>
      </c>
    </row>
    <row r="20" spans="1:17" s="10" customFormat="1" x14ac:dyDescent="0.35">
      <c r="A20" s="10">
        <v>2024</v>
      </c>
      <c r="B20" s="10" t="s">
        <v>26</v>
      </c>
      <c r="C20" s="10" t="s">
        <v>11</v>
      </c>
      <c r="D20" s="10">
        <v>0</v>
      </c>
      <c r="E20" s="10">
        <v>0</v>
      </c>
      <c r="F20" s="12">
        <f t="shared" si="0"/>
        <v>47</v>
      </c>
      <c r="G20" s="10">
        <v>0</v>
      </c>
      <c r="H20" s="19">
        <f>15174000+10155000+35458000+56000</f>
        <v>60843000</v>
      </c>
      <c r="I20" s="10">
        <f>1686+6+3931</f>
        <v>5623</v>
      </c>
      <c r="J20" s="10">
        <v>0</v>
      </c>
      <c r="K20" s="10">
        <v>59</v>
      </c>
      <c r="L20" s="10">
        <v>4</v>
      </c>
      <c r="M20" s="10">
        <v>0</v>
      </c>
      <c r="N20" s="10">
        <v>1</v>
      </c>
      <c r="O20" s="10">
        <v>0</v>
      </c>
      <c r="P20" s="10">
        <v>2</v>
      </c>
      <c r="Q20" s="10">
        <v>12</v>
      </c>
    </row>
    <row r="21" spans="1:17" s="10" customFormat="1" x14ac:dyDescent="0.35">
      <c r="A21" s="10">
        <v>2024</v>
      </c>
      <c r="B21" s="10" t="s">
        <v>26</v>
      </c>
      <c r="C21" s="10" t="s">
        <v>12</v>
      </c>
      <c r="D21" s="10">
        <v>0</v>
      </c>
      <c r="E21" s="10">
        <v>0</v>
      </c>
      <c r="F21" s="12">
        <f t="shared" si="0"/>
        <v>49</v>
      </c>
      <c r="G21" s="10">
        <v>0</v>
      </c>
      <c r="H21" s="19">
        <f>16164000+11007000+28798000</f>
        <v>55969000</v>
      </c>
      <c r="I21" s="10">
        <f>1796+1171+3221</f>
        <v>6188</v>
      </c>
      <c r="J21" s="10">
        <v>0</v>
      </c>
      <c r="K21" s="10">
        <v>25</v>
      </c>
      <c r="L21" s="10">
        <v>4</v>
      </c>
      <c r="M21" s="10">
        <v>0</v>
      </c>
      <c r="N21" s="10">
        <v>0</v>
      </c>
      <c r="O21" s="10">
        <v>0</v>
      </c>
      <c r="P21" s="10">
        <v>0</v>
      </c>
      <c r="Q21" s="10">
        <v>24</v>
      </c>
    </row>
    <row r="22" spans="1:17" s="10" customFormat="1" x14ac:dyDescent="0.35">
      <c r="A22" s="10">
        <v>2024</v>
      </c>
      <c r="B22" s="10" t="s">
        <v>13</v>
      </c>
      <c r="C22" s="10" t="s">
        <v>37</v>
      </c>
      <c r="D22" s="10">
        <v>0</v>
      </c>
      <c r="E22" s="10">
        <v>0</v>
      </c>
      <c r="F22" s="12">
        <f t="shared" si="0"/>
        <v>112</v>
      </c>
      <c r="G22" s="10">
        <v>0</v>
      </c>
      <c r="H22" s="19">
        <f>2556000+11304000+819000+63131000</f>
        <v>77810000</v>
      </c>
      <c r="I22" s="10">
        <f>1256+581+91+5451</f>
        <v>7379</v>
      </c>
      <c r="J22" s="10">
        <v>0</v>
      </c>
      <c r="K22" s="10">
        <v>121</v>
      </c>
      <c r="L22" s="10">
        <f>2+4</f>
        <v>6</v>
      </c>
      <c r="M22" s="10">
        <v>1</v>
      </c>
      <c r="O22" s="10">
        <v>0</v>
      </c>
      <c r="P22" s="10">
        <v>0</v>
      </c>
      <c r="Q22" s="10">
        <v>0</v>
      </c>
    </row>
    <row r="23" spans="1:17" s="10" customFormat="1" x14ac:dyDescent="0.35">
      <c r="A23" s="10">
        <v>2024</v>
      </c>
      <c r="B23" s="10" t="s">
        <v>13</v>
      </c>
      <c r="C23" s="10" t="s">
        <v>9</v>
      </c>
      <c r="D23" s="10">
        <v>0</v>
      </c>
      <c r="E23" s="10">
        <v>0</v>
      </c>
      <c r="F23" s="12">
        <f t="shared" si="0"/>
        <v>37</v>
      </c>
      <c r="G23" s="10">
        <v>0</v>
      </c>
      <c r="H23" s="19">
        <f>5392000+13631000+97231000+86725000+113555000</f>
        <v>316534000</v>
      </c>
      <c r="I23" s="10">
        <f>627+1585+11049+17345+13404</f>
        <v>44010</v>
      </c>
      <c r="J23" s="10">
        <v>0</v>
      </c>
      <c r="K23" s="10">
        <v>17</v>
      </c>
      <c r="L23" s="10">
        <v>3</v>
      </c>
      <c r="M23" s="10">
        <v>1</v>
      </c>
      <c r="N23" s="10">
        <v>1</v>
      </c>
      <c r="O23" s="10">
        <v>2</v>
      </c>
      <c r="P23" s="10">
        <v>1</v>
      </c>
      <c r="Q23" s="10">
        <v>0</v>
      </c>
    </row>
    <row r="24" spans="1:17" s="10" customFormat="1" x14ac:dyDescent="0.35">
      <c r="A24" s="10">
        <v>2024</v>
      </c>
      <c r="B24" s="10" t="s">
        <v>13</v>
      </c>
      <c r="C24" s="10" t="s">
        <v>10</v>
      </c>
      <c r="D24" s="10">
        <v>0</v>
      </c>
      <c r="E24" s="10">
        <v>0</v>
      </c>
      <c r="F24" s="12">
        <f t="shared" si="0"/>
        <v>109</v>
      </c>
      <c r="G24" s="10">
        <v>0</v>
      </c>
      <c r="H24" s="19">
        <f>11468000+318779000</f>
        <v>330247000</v>
      </c>
      <c r="I24" s="10">
        <f>1220+35521</f>
        <v>36741</v>
      </c>
      <c r="J24" s="10">
        <v>0</v>
      </c>
      <c r="K24" s="10">
        <v>125</v>
      </c>
      <c r="L24" s="10">
        <v>0</v>
      </c>
      <c r="M24" s="10">
        <v>14</v>
      </c>
      <c r="N24" s="10">
        <v>0</v>
      </c>
      <c r="O24" s="10">
        <v>0</v>
      </c>
      <c r="P24" s="10">
        <v>0</v>
      </c>
      <c r="Q24" s="10">
        <v>0</v>
      </c>
    </row>
    <row r="25" spans="1:17" s="10" customFormat="1" x14ac:dyDescent="0.35">
      <c r="A25" s="10">
        <v>2024</v>
      </c>
      <c r="B25" s="10" t="s">
        <v>13</v>
      </c>
      <c r="C25" s="10" t="s">
        <v>11</v>
      </c>
      <c r="D25" s="10">
        <v>0</v>
      </c>
      <c r="E25" s="10">
        <v>0</v>
      </c>
      <c r="F25" s="12">
        <f t="shared" si="0"/>
        <v>78</v>
      </c>
      <c r="G25" s="10">
        <v>0</v>
      </c>
      <c r="H25" s="19">
        <f>1566000+17822000+1051000+19022000+3444000+39529000</f>
        <v>82434000</v>
      </c>
      <c r="I25" s="10">
        <f>174+1896+102+3589+355+4374</f>
        <v>10490</v>
      </c>
      <c r="J25" s="10">
        <v>0</v>
      </c>
      <c r="K25" s="10">
        <v>49</v>
      </c>
      <c r="L25" s="10">
        <v>1</v>
      </c>
      <c r="M25" s="10">
        <v>0</v>
      </c>
      <c r="N25" s="10">
        <v>2</v>
      </c>
      <c r="O25" s="10">
        <v>6</v>
      </c>
      <c r="P25" s="10">
        <v>1</v>
      </c>
      <c r="Q25" s="10">
        <v>0</v>
      </c>
    </row>
    <row r="26" spans="1:17" s="10" customFormat="1" x14ac:dyDescent="0.35">
      <c r="A26" s="10">
        <v>2024</v>
      </c>
      <c r="B26" s="10" t="s">
        <v>13</v>
      </c>
      <c r="C26" s="10" t="s">
        <v>12</v>
      </c>
      <c r="D26" s="10">
        <v>0</v>
      </c>
      <c r="E26" s="10">
        <v>0</v>
      </c>
      <c r="F26" s="12">
        <f t="shared" si="0"/>
        <v>53</v>
      </c>
      <c r="G26" s="10">
        <v>0</v>
      </c>
      <c r="H26" s="19">
        <f>34038000+43343000+66235000+18925000</f>
        <v>162541000</v>
      </c>
      <c r="I26" s="10">
        <f>3782+4611+7122+2051</f>
        <v>17566</v>
      </c>
      <c r="J26" s="10">
        <v>0</v>
      </c>
      <c r="K26" s="10">
        <v>43</v>
      </c>
      <c r="L26" s="10">
        <v>13</v>
      </c>
      <c r="M26" s="10">
        <v>0</v>
      </c>
      <c r="N26" s="10">
        <v>1</v>
      </c>
      <c r="Q26" s="10">
        <v>1</v>
      </c>
    </row>
    <row r="27" spans="1:17" s="10" customFormat="1" x14ac:dyDescent="0.35">
      <c r="A27" s="10">
        <v>2024</v>
      </c>
      <c r="B27" s="10" t="s">
        <v>14</v>
      </c>
      <c r="C27" s="10" t="s">
        <v>8</v>
      </c>
      <c r="D27" s="10">
        <v>0</v>
      </c>
      <c r="E27" s="10">
        <v>0</v>
      </c>
      <c r="F27" s="12">
        <f t="shared" si="0"/>
        <v>128</v>
      </c>
      <c r="G27" s="10">
        <v>0</v>
      </c>
      <c r="H27" s="16">
        <f>9792000+141000+62219000+5468000+21422000</f>
        <v>99042000</v>
      </c>
      <c r="I27" s="10">
        <f>1088+32+6619+588+1485</f>
        <v>9812</v>
      </c>
      <c r="J27" s="10">
        <v>0</v>
      </c>
      <c r="K27" s="10">
        <v>57</v>
      </c>
      <c r="L27" s="10">
        <f>5+1</f>
        <v>6</v>
      </c>
      <c r="M27" s="10">
        <v>43</v>
      </c>
      <c r="N27" s="10">
        <v>1</v>
      </c>
      <c r="O27" s="10">
        <v>0</v>
      </c>
      <c r="P27" s="10">
        <v>0</v>
      </c>
      <c r="Q27" s="10">
        <v>10</v>
      </c>
    </row>
    <row r="28" spans="1:17" s="10" customFormat="1" x14ac:dyDescent="0.35">
      <c r="A28" s="10">
        <v>2024</v>
      </c>
      <c r="B28" s="10" t="s">
        <v>14</v>
      </c>
      <c r="C28" s="10" t="s">
        <v>9</v>
      </c>
      <c r="D28" s="10">
        <v>0</v>
      </c>
      <c r="E28" s="10">
        <v>0</v>
      </c>
      <c r="F28" s="12">
        <f t="shared" si="0"/>
        <v>25</v>
      </c>
      <c r="G28" s="10">
        <v>0</v>
      </c>
      <c r="H28" s="16">
        <f>21726000+107367000+24839000</f>
        <v>153932000</v>
      </c>
      <c r="I28" s="10">
        <f>2414+20258+2559</f>
        <v>25231</v>
      </c>
      <c r="J28" s="10">
        <v>0</v>
      </c>
      <c r="K28" s="10">
        <v>22</v>
      </c>
      <c r="L28" s="10">
        <v>6</v>
      </c>
      <c r="M28" s="10">
        <v>0</v>
      </c>
      <c r="N28" s="10">
        <v>0</v>
      </c>
      <c r="O28" s="10">
        <v>2</v>
      </c>
      <c r="P28" s="10">
        <v>0</v>
      </c>
      <c r="Q28" s="10">
        <v>0</v>
      </c>
    </row>
    <row r="29" spans="1:17" s="10" customFormat="1" x14ac:dyDescent="0.35">
      <c r="A29" s="10">
        <v>2024</v>
      </c>
      <c r="B29" s="10" t="s">
        <v>14</v>
      </c>
      <c r="C29" s="10" t="s">
        <v>10</v>
      </c>
      <c r="D29" s="10">
        <v>0</v>
      </c>
      <c r="E29" s="10">
        <v>0</v>
      </c>
      <c r="F29" s="12">
        <f>SUM(J19:R19)</f>
        <v>109</v>
      </c>
      <c r="G29" s="10">
        <v>0</v>
      </c>
      <c r="H29" s="16">
        <f>2279000+185297000</f>
        <v>187576000</v>
      </c>
      <c r="I29" s="10">
        <f>245+17248</f>
        <v>17493</v>
      </c>
      <c r="J29" s="10">
        <v>0</v>
      </c>
      <c r="K29" s="10">
        <v>111</v>
      </c>
      <c r="L29" s="10">
        <v>0</v>
      </c>
      <c r="M29" s="10">
        <v>0</v>
      </c>
      <c r="N29" s="10">
        <v>0</v>
      </c>
      <c r="O29" s="10">
        <v>0</v>
      </c>
      <c r="P29" s="10">
        <v>0</v>
      </c>
      <c r="Q29" s="10">
        <v>0</v>
      </c>
    </row>
    <row r="30" spans="1:17" s="10" customFormat="1" x14ac:dyDescent="0.35">
      <c r="A30" s="10">
        <v>2024</v>
      </c>
      <c r="B30" s="10" t="s">
        <v>14</v>
      </c>
      <c r="C30" s="10" t="s">
        <v>11</v>
      </c>
      <c r="D30" s="10">
        <v>0</v>
      </c>
      <c r="E30" s="10">
        <v>0</v>
      </c>
      <c r="F30" s="12">
        <f t="shared" ref="F30:F42" si="1">SUM(J25:Q25)</f>
        <v>59</v>
      </c>
      <c r="G30" s="10">
        <v>0</v>
      </c>
      <c r="H30" s="16">
        <v>0</v>
      </c>
      <c r="I30" s="10">
        <v>0</v>
      </c>
      <c r="J30" s="10">
        <v>0</v>
      </c>
      <c r="K30" s="10">
        <v>0</v>
      </c>
      <c r="L30" s="10">
        <v>0</v>
      </c>
      <c r="M30" s="10">
        <v>0</v>
      </c>
      <c r="N30" s="10">
        <v>0</v>
      </c>
      <c r="O30" s="10">
        <v>0</v>
      </c>
      <c r="P30" s="10">
        <v>0</v>
      </c>
      <c r="Q30" s="10">
        <v>0</v>
      </c>
    </row>
    <row r="31" spans="1:17" s="10" customFormat="1" x14ac:dyDescent="0.35">
      <c r="A31" s="10">
        <v>2024</v>
      </c>
      <c r="B31" s="10" t="s">
        <v>14</v>
      </c>
      <c r="C31" s="10" t="s">
        <v>12</v>
      </c>
      <c r="D31" s="10">
        <v>0</v>
      </c>
      <c r="E31" s="10">
        <v>0</v>
      </c>
      <c r="F31" s="12">
        <f t="shared" si="1"/>
        <v>58</v>
      </c>
      <c r="G31" s="10">
        <v>0</v>
      </c>
      <c r="H31" s="16">
        <f>19062000+1269000+11830000+28516000</f>
        <v>60677000</v>
      </c>
      <c r="I31" s="10">
        <f>2118+135+1272+3099</f>
        <v>6624</v>
      </c>
      <c r="J31" s="10">
        <v>0</v>
      </c>
      <c r="K31" s="10">
        <v>34</v>
      </c>
      <c r="L31" s="10">
        <v>6</v>
      </c>
      <c r="M31" s="10">
        <v>0</v>
      </c>
      <c r="N31" s="10">
        <v>0</v>
      </c>
      <c r="O31" s="10">
        <v>0</v>
      </c>
      <c r="P31" s="10">
        <v>1</v>
      </c>
      <c r="Q31" s="10">
        <v>13</v>
      </c>
    </row>
    <row r="32" spans="1:17" s="10" customFormat="1" x14ac:dyDescent="0.35">
      <c r="A32" s="10">
        <v>2024</v>
      </c>
      <c r="B32" s="10" t="s">
        <v>15</v>
      </c>
      <c r="C32" s="10" t="s">
        <v>8</v>
      </c>
      <c r="D32" s="10">
        <v>0</v>
      </c>
      <c r="E32" s="10">
        <v>0</v>
      </c>
      <c r="F32" s="12">
        <f t="shared" si="1"/>
        <v>117</v>
      </c>
      <c r="G32" s="10">
        <v>0</v>
      </c>
      <c r="H32" s="16">
        <f>32544000+8469000+23979000+139884000+77629000</f>
        <v>282505000</v>
      </c>
      <c r="I32" s="10">
        <f>3616+901+2551+13581+7766</f>
        <v>28415</v>
      </c>
      <c r="J32" s="10">
        <v>0</v>
      </c>
      <c r="K32" s="10">
        <v>90</v>
      </c>
      <c r="L32" s="10">
        <v>11</v>
      </c>
      <c r="M32" s="10">
        <v>0</v>
      </c>
      <c r="N32" s="10">
        <v>1</v>
      </c>
      <c r="O32" s="10">
        <v>0</v>
      </c>
      <c r="P32" s="10">
        <v>14</v>
      </c>
      <c r="Q32" s="10">
        <v>10</v>
      </c>
    </row>
    <row r="33" spans="1:17" s="10" customFormat="1" x14ac:dyDescent="0.35">
      <c r="A33" s="10">
        <v>2024</v>
      </c>
      <c r="B33" s="10" t="s">
        <v>15</v>
      </c>
      <c r="C33" s="10" t="s">
        <v>9</v>
      </c>
      <c r="D33" s="10">
        <v>0</v>
      </c>
      <c r="E33" s="10">
        <v>0</v>
      </c>
      <c r="F33" s="12">
        <f t="shared" si="1"/>
        <v>30</v>
      </c>
      <c r="G33" s="10">
        <v>0</v>
      </c>
      <c r="H33" s="16">
        <f>4137000+11079000+308000000+56184000+3995000</f>
        <v>383395000</v>
      </c>
      <c r="I33" s="10">
        <f>481+1231+35000+11237+1353</f>
        <v>49302</v>
      </c>
      <c r="J33" s="10">
        <v>0</v>
      </c>
      <c r="K33" s="10">
        <v>18</v>
      </c>
      <c r="L33" s="10">
        <v>4</v>
      </c>
      <c r="M33" s="10">
        <v>0</v>
      </c>
      <c r="N33" s="10">
        <v>1</v>
      </c>
      <c r="O33" s="10">
        <v>1</v>
      </c>
      <c r="P33" s="10">
        <v>8</v>
      </c>
      <c r="Q33" s="10">
        <v>0</v>
      </c>
    </row>
    <row r="34" spans="1:17" s="10" customFormat="1" x14ac:dyDescent="0.35">
      <c r="A34" s="10">
        <v>2024</v>
      </c>
      <c r="B34" s="10" t="s">
        <v>15</v>
      </c>
      <c r="C34" s="10" t="s">
        <v>10</v>
      </c>
      <c r="D34" s="10">
        <v>0</v>
      </c>
      <c r="E34" s="10">
        <v>0</v>
      </c>
      <c r="F34" s="12">
        <f t="shared" si="1"/>
        <v>111</v>
      </c>
      <c r="G34" s="10">
        <v>0</v>
      </c>
      <c r="H34" s="16">
        <f>190797000</f>
        <v>190797000</v>
      </c>
      <c r="I34" s="10">
        <f>20532</f>
        <v>20532</v>
      </c>
      <c r="J34" s="10">
        <v>0</v>
      </c>
      <c r="K34" s="10">
        <v>113</v>
      </c>
      <c r="L34" s="10">
        <v>0</v>
      </c>
      <c r="M34" s="10">
        <v>0</v>
      </c>
      <c r="N34" s="10">
        <v>0</v>
      </c>
      <c r="O34" s="10">
        <v>0</v>
      </c>
      <c r="P34" s="10">
        <v>0</v>
      </c>
      <c r="Q34" s="10">
        <v>0</v>
      </c>
    </row>
    <row r="35" spans="1:17" s="10" customFormat="1" x14ac:dyDescent="0.35">
      <c r="A35" s="10">
        <v>2024</v>
      </c>
      <c r="B35" s="10" t="s">
        <v>15</v>
      </c>
      <c r="C35" s="10" t="s">
        <v>11</v>
      </c>
      <c r="D35" s="10">
        <v>0</v>
      </c>
      <c r="E35" s="10">
        <v>0</v>
      </c>
      <c r="F35" s="12">
        <f t="shared" si="1"/>
        <v>0</v>
      </c>
      <c r="G35" s="10">
        <v>0</v>
      </c>
      <c r="H35" s="16">
        <f>21798000+17672000+30957000+21702000</f>
        <v>92129000</v>
      </c>
      <c r="I35" s="10">
        <f>2422+1880+5841+2394</f>
        <v>12537</v>
      </c>
      <c r="J35" s="10">
        <v>0</v>
      </c>
      <c r="K35" s="10">
        <v>47</v>
      </c>
      <c r="L35" s="10">
        <v>11</v>
      </c>
      <c r="M35" s="10">
        <v>0</v>
      </c>
      <c r="N35" s="10">
        <v>0</v>
      </c>
      <c r="O35" s="10">
        <v>9</v>
      </c>
      <c r="P35" s="10">
        <v>40</v>
      </c>
      <c r="Q35" s="10">
        <v>0</v>
      </c>
    </row>
    <row r="36" spans="1:17" s="10" customFormat="1" x14ac:dyDescent="0.35">
      <c r="A36" s="10">
        <v>2024</v>
      </c>
      <c r="B36" s="10" t="s">
        <v>15</v>
      </c>
      <c r="C36" s="10" t="s">
        <v>12</v>
      </c>
      <c r="D36" s="10">
        <v>0</v>
      </c>
      <c r="E36" s="10">
        <v>0</v>
      </c>
      <c r="F36" s="12">
        <f t="shared" si="1"/>
        <v>54</v>
      </c>
      <c r="G36" s="10">
        <v>0</v>
      </c>
      <c r="H36" s="16">
        <f>6228000+20238000+103652000+21102000</f>
        <v>151220000</v>
      </c>
      <c r="I36" s="10">
        <f>692+2153+19557+2328</f>
        <v>24730</v>
      </c>
      <c r="J36" s="10">
        <v>0</v>
      </c>
      <c r="K36" s="10">
        <v>46</v>
      </c>
      <c r="L36" s="10">
        <v>4</v>
      </c>
      <c r="M36" s="10">
        <v>0</v>
      </c>
      <c r="N36" s="10">
        <v>0</v>
      </c>
      <c r="O36" s="10">
        <v>1</v>
      </c>
      <c r="P36" s="10">
        <v>0</v>
      </c>
      <c r="Q36" s="10">
        <v>13</v>
      </c>
    </row>
    <row r="37" spans="1:17" s="10" customFormat="1" x14ac:dyDescent="0.35">
      <c r="A37" s="10">
        <v>2024</v>
      </c>
      <c r="B37" s="10" t="s">
        <v>16</v>
      </c>
      <c r="C37" s="10" t="s">
        <v>8</v>
      </c>
      <c r="D37" s="10">
        <v>0</v>
      </c>
      <c r="E37" s="10">
        <v>0</v>
      </c>
      <c r="F37" s="12">
        <f t="shared" si="1"/>
        <v>126</v>
      </c>
      <c r="G37" s="10">
        <v>0</v>
      </c>
      <c r="H37" s="16">
        <f>32544000+8469000+23979000+139884000+77629000</f>
        <v>282505000</v>
      </c>
      <c r="I37" s="10">
        <f>3616+901+2551+13581+7766</f>
        <v>28415</v>
      </c>
      <c r="J37" s="10">
        <v>0</v>
      </c>
      <c r="K37" s="10">
        <v>90</v>
      </c>
      <c r="L37" s="10">
        <v>11</v>
      </c>
      <c r="M37" s="10">
        <v>14</v>
      </c>
      <c r="N37" s="10">
        <v>1</v>
      </c>
      <c r="O37" s="10">
        <v>0</v>
      </c>
      <c r="P37" s="10">
        <v>0</v>
      </c>
      <c r="Q37" s="10">
        <v>3</v>
      </c>
    </row>
    <row r="38" spans="1:17" s="10" customFormat="1" x14ac:dyDescent="0.35">
      <c r="A38" s="10">
        <v>2024</v>
      </c>
      <c r="B38" s="10" t="s">
        <v>16</v>
      </c>
      <c r="C38" s="10" t="s">
        <v>9</v>
      </c>
      <c r="D38" s="10">
        <v>0</v>
      </c>
      <c r="E38" s="10">
        <v>0</v>
      </c>
      <c r="F38" s="12">
        <f t="shared" si="1"/>
        <v>32</v>
      </c>
      <c r="G38" s="10">
        <v>0</v>
      </c>
      <c r="H38" s="16">
        <f>4137000+11079000+308000+56184000+3995000</f>
        <v>75703000</v>
      </c>
      <c r="I38" s="10">
        <f>481+1231+35000+11237+1353</f>
        <v>49302</v>
      </c>
      <c r="J38" s="10">
        <v>0</v>
      </c>
      <c r="K38" s="10">
        <v>18</v>
      </c>
      <c r="L38" s="10">
        <v>4</v>
      </c>
      <c r="M38" s="10">
        <v>8</v>
      </c>
      <c r="N38" s="10">
        <v>1</v>
      </c>
      <c r="O38" s="10">
        <v>1</v>
      </c>
      <c r="P38" s="10">
        <v>0</v>
      </c>
      <c r="Q38" s="10">
        <v>0</v>
      </c>
    </row>
    <row r="39" spans="1:17" s="10" customFormat="1" x14ac:dyDescent="0.35">
      <c r="A39" s="10">
        <v>2024</v>
      </c>
      <c r="B39" s="10" t="s">
        <v>16</v>
      </c>
      <c r="C39" s="10" t="s">
        <v>10</v>
      </c>
      <c r="D39" s="10">
        <v>0</v>
      </c>
      <c r="E39" s="10">
        <v>0</v>
      </c>
      <c r="F39" s="12">
        <f t="shared" si="1"/>
        <v>113</v>
      </c>
      <c r="G39" s="10">
        <v>0</v>
      </c>
      <c r="H39" s="16">
        <f>190797000</f>
        <v>190797000</v>
      </c>
      <c r="I39" s="10">
        <f>20532</f>
        <v>20532</v>
      </c>
      <c r="J39" s="10">
        <v>0</v>
      </c>
      <c r="K39" s="10">
        <v>113</v>
      </c>
      <c r="L39" s="10">
        <v>0</v>
      </c>
      <c r="M39" s="10">
        <v>0</v>
      </c>
      <c r="N39" s="10">
        <v>0</v>
      </c>
      <c r="O39" s="10">
        <v>0</v>
      </c>
      <c r="P39" s="10">
        <v>0</v>
      </c>
      <c r="Q39" s="10">
        <v>0</v>
      </c>
    </row>
    <row r="40" spans="1:17" s="10" customFormat="1" x14ac:dyDescent="0.35">
      <c r="A40" s="10">
        <v>2024</v>
      </c>
      <c r="B40" s="10" t="s">
        <v>16</v>
      </c>
      <c r="C40" s="10" t="s">
        <v>11</v>
      </c>
      <c r="D40" s="10">
        <v>0</v>
      </c>
      <c r="E40" s="10">
        <v>0</v>
      </c>
      <c r="F40" s="12">
        <f t="shared" si="1"/>
        <v>107</v>
      </c>
      <c r="G40" s="10">
        <v>0</v>
      </c>
      <c r="H40" s="16">
        <f>21798000+17672000+30957000+21702000</f>
        <v>92129000</v>
      </c>
      <c r="I40" s="10">
        <f>2422+1880+5841+2394</f>
        <v>12537</v>
      </c>
      <c r="J40" s="10">
        <v>0</v>
      </c>
      <c r="K40" s="10">
        <v>47</v>
      </c>
      <c r="L40" s="10">
        <v>11</v>
      </c>
      <c r="M40" s="10">
        <v>40</v>
      </c>
      <c r="N40" s="10">
        <v>0</v>
      </c>
      <c r="O40" s="10">
        <v>9</v>
      </c>
      <c r="P40" s="10">
        <v>0</v>
      </c>
      <c r="Q40" s="10">
        <v>0</v>
      </c>
    </row>
    <row r="41" spans="1:17" s="10" customFormat="1" x14ac:dyDescent="0.35">
      <c r="A41" s="10">
        <v>2024</v>
      </c>
      <c r="B41" s="10" t="s">
        <v>16</v>
      </c>
      <c r="C41" s="10" t="s">
        <v>12</v>
      </c>
      <c r="D41" s="10">
        <v>0</v>
      </c>
      <c r="E41" s="10">
        <v>0</v>
      </c>
      <c r="F41" s="12">
        <f t="shared" si="1"/>
        <v>64</v>
      </c>
      <c r="H41" s="16">
        <f>6228000+20238000</f>
        <v>26466000</v>
      </c>
      <c r="I41" s="10">
        <f>692+2153+19557</f>
        <v>22402</v>
      </c>
      <c r="J41" s="10">
        <v>0</v>
      </c>
      <c r="K41" s="10">
        <v>0</v>
      </c>
      <c r="L41" s="10">
        <v>4</v>
      </c>
      <c r="N41" s="10">
        <v>0</v>
      </c>
      <c r="O41" s="10">
        <v>1</v>
      </c>
      <c r="P41" s="10">
        <v>0</v>
      </c>
      <c r="Q41" s="10">
        <v>12</v>
      </c>
    </row>
    <row r="42" spans="1:17" s="10" customFormat="1" x14ac:dyDescent="0.35">
      <c r="A42" s="10">
        <v>2024</v>
      </c>
      <c r="B42" s="10" t="s">
        <v>17</v>
      </c>
      <c r="C42" s="10" t="s">
        <v>8</v>
      </c>
      <c r="D42" s="10">
        <v>0</v>
      </c>
      <c r="E42" s="10">
        <v>0</v>
      </c>
      <c r="F42" s="12">
        <f t="shared" si="1"/>
        <v>119</v>
      </c>
      <c r="G42" s="10">
        <v>0</v>
      </c>
      <c r="H42" s="16">
        <f>17217000+7642000+3678000+53799000</f>
        <v>82336000</v>
      </c>
      <c r="I42" s="10">
        <f>1913+813+694+5301</f>
        <v>8721</v>
      </c>
      <c r="J42" s="10">
        <v>0</v>
      </c>
      <c r="K42" s="10">
        <v>67</v>
      </c>
      <c r="L42" s="10">
        <v>5</v>
      </c>
      <c r="M42" s="10">
        <v>0</v>
      </c>
      <c r="N42" s="10">
        <v>0</v>
      </c>
      <c r="O42" s="10">
        <v>1</v>
      </c>
      <c r="P42" s="10">
        <v>0</v>
      </c>
    </row>
    <row r="43" spans="1:17" s="10" customFormat="1" x14ac:dyDescent="0.35">
      <c r="A43" s="10">
        <v>2024</v>
      </c>
      <c r="B43" s="10" t="s">
        <v>17</v>
      </c>
      <c r="C43" s="10" t="s">
        <v>9</v>
      </c>
      <c r="D43" s="10">
        <v>0</v>
      </c>
      <c r="E43" s="10">
        <v>0</v>
      </c>
      <c r="F43" s="12">
        <f>SUM(J37:Q37)</f>
        <v>119</v>
      </c>
      <c r="G43" s="10">
        <v>0</v>
      </c>
      <c r="H43" s="16">
        <f>7227000+6183000+3641000+19466000</f>
        <v>36517000</v>
      </c>
      <c r="I43" s="10">
        <f>803+687+687+978</f>
        <v>3155</v>
      </c>
      <c r="J43" s="10">
        <v>0</v>
      </c>
      <c r="K43" s="10">
        <v>16</v>
      </c>
      <c r="L43" s="10">
        <v>5</v>
      </c>
      <c r="M43" s="10">
        <f>1+1</f>
        <v>2</v>
      </c>
      <c r="N43" s="10">
        <v>0</v>
      </c>
      <c r="O43" s="10">
        <v>1</v>
      </c>
      <c r="P43" s="10">
        <v>1</v>
      </c>
    </row>
    <row r="44" spans="1:17" s="10" customFormat="1" x14ac:dyDescent="0.35">
      <c r="A44" s="10">
        <v>2024</v>
      </c>
      <c r="B44" s="10" t="s">
        <v>17</v>
      </c>
      <c r="C44" s="10" t="s">
        <v>10</v>
      </c>
      <c r="D44" s="10">
        <v>0</v>
      </c>
      <c r="E44" s="10">
        <v>0</v>
      </c>
      <c r="F44" s="12">
        <f t="shared" ref="F44:F66" si="2">SUM(J39:Q39)</f>
        <v>113</v>
      </c>
      <c r="G44" s="10">
        <v>0</v>
      </c>
      <c r="H44" s="16">
        <f>69301000</f>
        <v>69301000</v>
      </c>
      <c r="I44" s="10">
        <f>7477</f>
        <v>7477</v>
      </c>
      <c r="J44" s="10">
        <v>0</v>
      </c>
      <c r="K44" s="10">
        <v>60</v>
      </c>
      <c r="L44" s="10">
        <v>0</v>
      </c>
      <c r="M44" s="10">
        <v>0</v>
      </c>
      <c r="N44" s="10">
        <v>0</v>
      </c>
      <c r="O44" s="10">
        <v>0</v>
      </c>
      <c r="P44" s="10">
        <v>0</v>
      </c>
    </row>
    <row r="45" spans="1:17" s="10" customFormat="1" x14ac:dyDescent="0.35">
      <c r="A45" s="10">
        <v>2024</v>
      </c>
      <c r="B45" s="10" t="s">
        <v>17</v>
      </c>
      <c r="C45" s="10" t="s">
        <v>11</v>
      </c>
      <c r="D45" s="10">
        <v>0</v>
      </c>
      <c r="E45" s="10">
        <v>0</v>
      </c>
      <c r="F45" s="12">
        <f t="shared" si="2"/>
        <v>107</v>
      </c>
      <c r="G45" s="10">
        <v>0</v>
      </c>
      <c r="H45" s="16">
        <f>15453000+2203400+6942000+16843000+30923000+3220000+55070000+61655216000</f>
        <v>61785870400</v>
      </c>
      <c r="I45" s="10">
        <f>1717+2344+764+3178+3325+332+6258+7004524</f>
        <v>7022442</v>
      </c>
      <c r="J45" s="10">
        <v>0</v>
      </c>
      <c r="K45" s="10">
        <v>48</v>
      </c>
      <c r="L45" s="10">
        <v>2</v>
      </c>
      <c r="M45" s="10">
        <v>0</v>
      </c>
      <c r="N45" s="10">
        <v>0</v>
      </c>
      <c r="O45" s="10">
        <v>0</v>
      </c>
      <c r="P45" s="10">
        <v>0</v>
      </c>
      <c r="Q45" s="10">
        <v>2</v>
      </c>
    </row>
    <row r="46" spans="1:17" s="10" customFormat="1" x14ac:dyDescent="0.35">
      <c r="A46" s="10">
        <v>2024</v>
      </c>
      <c r="B46" s="10" t="s">
        <v>17</v>
      </c>
      <c r="C46" s="10" t="s">
        <v>12</v>
      </c>
      <c r="D46" s="10">
        <v>0</v>
      </c>
      <c r="E46" s="10">
        <v>0</v>
      </c>
      <c r="F46" s="12">
        <f t="shared" si="2"/>
        <v>17</v>
      </c>
      <c r="G46" s="10">
        <v>0</v>
      </c>
      <c r="H46" s="16">
        <f>23076000+19261000+28537000+39237000</f>
        <v>110111000</v>
      </c>
      <c r="I46" s="10">
        <f>2564+2064+2942+4129</f>
        <v>11699</v>
      </c>
      <c r="J46" s="10">
        <v>0</v>
      </c>
      <c r="K46" s="10">
        <v>48</v>
      </c>
      <c r="L46" s="10">
        <v>0</v>
      </c>
      <c r="M46" s="10">
        <v>6</v>
      </c>
      <c r="N46" s="10">
        <v>0</v>
      </c>
      <c r="O46" s="10">
        <v>0</v>
      </c>
      <c r="P46" s="10">
        <v>1</v>
      </c>
      <c r="Q46" s="10">
        <v>62</v>
      </c>
    </row>
    <row r="47" spans="1:17" s="10" customFormat="1" x14ac:dyDescent="0.35">
      <c r="A47" s="10">
        <v>2024</v>
      </c>
      <c r="B47" s="10" t="s">
        <v>18</v>
      </c>
      <c r="C47" s="10" t="s">
        <v>8</v>
      </c>
      <c r="D47" s="10">
        <v>0</v>
      </c>
      <c r="E47" s="10">
        <v>0</v>
      </c>
      <c r="F47" s="12">
        <f t="shared" si="2"/>
        <v>73</v>
      </c>
      <c r="G47" s="10">
        <v>0</v>
      </c>
      <c r="H47" s="16">
        <f>33012000+59901000+28678000+211000+35517000</f>
        <v>157319000</v>
      </c>
      <c r="I47" s="10">
        <f>3668+6441+5411+24+2983</f>
        <v>18527</v>
      </c>
      <c r="J47" s="10">
        <v>0</v>
      </c>
      <c r="K47" s="10">
        <v>68</v>
      </c>
      <c r="L47" s="10">
        <v>6</v>
      </c>
      <c r="N47" s="10">
        <v>2</v>
      </c>
      <c r="O47" s="10">
        <v>2</v>
      </c>
      <c r="P47" s="10">
        <v>1</v>
      </c>
      <c r="Q47" s="10">
        <v>3</v>
      </c>
    </row>
    <row r="48" spans="1:17" s="10" customFormat="1" x14ac:dyDescent="0.35">
      <c r="A48" s="10">
        <v>2024</v>
      </c>
      <c r="B48" s="10" t="s">
        <v>18</v>
      </c>
      <c r="C48" s="10" t="s">
        <v>9</v>
      </c>
      <c r="D48" s="10">
        <v>0</v>
      </c>
      <c r="E48" s="10">
        <v>0</v>
      </c>
      <c r="F48" s="12">
        <f t="shared" si="2"/>
        <v>25</v>
      </c>
      <c r="G48" s="10">
        <v>0</v>
      </c>
      <c r="H48" s="16">
        <f>12906000+49256000+335051000+13993000</f>
        <v>411206000</v>
      </c>
      <c r="I48" s="10">
        <f>1434+5240+36027+1552</f>
        <v>44253</v>
      </c>
      <c r="J48" s="10">
        <v>0</v>
      </c>
      <c r="K48" s="10">
        <v>14</v>
      </c>
      <c r="L48" s="10">
        <v>6</v>
      </c>
      <c r="M48" s="10">
        <v>2</v>
      </c>
      <c r="N48" s="10">
        <v>1</v>
      </c>
      <c r="Q48" s="10">
        <v>1</v>
      </c>
    </row>
    <row r="49" spans="1:18" s="10" customFormat="1" x14ac:dyDescent="0.35">
      <c r="A49" s="10">
        <v>2024</v>
      </c>
      <c r="B49" s="10" t="s">
        <v>18</v>
      </c>
      <c r="C49" s="10" t="s">
        <v>10</v>
      </c>
      <c r="D49" s="10">
        <v>0</v>
      </c>
      <c r="E49" s="10">
        <v>0</v>
      </c>
      <c r="F49" s="12">
        <f t="shared" si="2"/>
        <v>60</v>
      </c>
      <c r="G49" s="10">
        <v>0</v>
      </c>
      <c r="H49" s="16">
        <f>33293000</f>
        <v>33293000</v>
      </c>
      <c r="I49" s="10">
        <f>3638</f>
        <v>3638</v>
      </c>
      <c r="J49" s="10">
        <v>0</v>
      </c>
      <c r="K49" s="10">
        <v>43</v>
      </c>
      <c r="L49" s="10">
        <v>0</v>
      </c>
      <c r="M49" s="10">
        <v>0</v>
      </c>
      <c r="N49" s="10">
        <v>0</v>
      </c>
      <c r="Q49" s="10">
        <v>0</v>
      </c>
    </row>
    <row r="50" spans="1:18" s="10" customFormat="1" x14ac:dyDescent="0.35">
      <c r="A50" s="10">
        <v>2024</v>
      </c>
      <c r="B50" s="10" t="s">
        <v>18</v>
      </c>
      <c r="C50" s="10" t="s">
        <v>11</v>
      </c>
      <c r="D50" s="10">
        <v>0</v>
      </c>
      <c r="E50" s="10">
        <v>0</v>
      </c>
      <c r="F50" s="12">
        <f t="shared" si="2"/>
        <v>52</v>
      </c>
      <c r="G50" s="10">
        <v>0</v>
      </c>
      <c r="H50" s="16">
        <f>16560000+5358000+18990000+42082000</f>
        <v>82990000</v>
      </c>
      <c r="I50" s="10">
        <f>1840+570+3583+4723</f>
        <v>10716</v>
      </c>
      <c r="J50" s="10">
        <v>0</v>
      </c>
      <c r="K50" s="10">
        <v>54</v>
      </c>
      <c r="L50" s="10">
        <v>7</v>
      </c>
      <c r="M50" s="10">
        <v>0</v>
      </c>
      <c r="O50" s="10">
        <v>8</v>
      </c>
      <c r="Q50" s="10">
        <v>1</v>
      </c>
    </row>
    <row r="51" spans="1:18" s="10" customFormat="1" x14ac:dyDescent="0.35">
      <c r="A51" s="10">
        <v>2024</v>
      </c>
      <c r="B51" s="10" t="s">
        <v>18</v>
      </c>
      <c r="C51" s="10" t="s">
        <v>12</v>
      </c>
      <c r="D51" s="10">
        <v>0</v>
      </c>
      <c r="E51" s="10">
        <v>0</v>
      </c>
      <c r="F51" s="12">
        <f t="shared" si="2"/>
        <v>117</v>
      </c>
      <c r="G51" s="10">
        <v>0</v>
      </c>
      <c r="H51" s="16">
        <f>29547000+60940000+530000+112628000</f>
        <v>203645000</v>
      </c>
      <c r="I51" s="10">
        <f>3283+6483+100+1435</f>
        <v>11301</v>
      </c>
      <c r="J51" s="10">
        <v>0</v>
      </c>
      <c r="K51" s="10">
        <v>21</v>
      </c>
      <c r="L51" s="10">
        <v>0</v>
      </c>
      <c r="M51" s="10">
        <v>0</v>
      </c>
      <c r="N51" s="10">
        <v>1</v>
      </c>
      <c r="O51" s="10">
        <v>1</v>
      </c>
      <c r="P51" s="10">
        <v>1</v>
      </c>
      <c r="Q51" s="10">
        <v>6</v>
      </c>
    </row>
    <row r="52" spans="1:18" s="10" customFormat="1" x14ac:dyDescent="0.35">
      <c r="A52" s="10">
        <v>2024</v>
      </c>
      <c r="B52" s="10" t="s">
        <v>19</v>
      </c>
      <c r="C52" s="10" t="s">
        <v>8</v>
      </c>
      <c r="D52" s="10">
        <v>0</v>
      </c>
      <c r="E52" s="10">
        <v>0</v>
      </c>
      <c r="F52" s="12">
        <f t="shared" si="2"/>
        <v>82</v>
      </c>
      <c r="G52" s="10">
        <v>0</v>
      </c>
      <c r="H52" s="16">
        <f>38070000+334000+59784000+7351000+22590000</f>
        <v>128129000</v>
      </c>
      <c r="I52" s="10">
        <f>4230+76+6360+782+1748</f>
        <v>13196</v>
      </c>
      <c r="J52" s="10">
        <v>0</v>
      </c>
      <c r="K52" s="10">
        <v>69</v>
      </c>
      <c r="L52" s="10">
        <f>10+1</f>
        <v>11</v>
      </c>
      <c r="M52" s="10">
        <v>0</v>
      </c>
      <c r="N52" s="10">
        <v>0</v>
      </c>
      <c r="O52" s="10">
        <v>0</v>
      </c>
      <c r="P52" s="10">
        <v>12</v>
      </c>
      <c r="Q52" s="10">
        <v>0</v>
      </c>
    </row>
    <row r="53" spans="1:18" s="10" customFormat="1" x14ac:dyDescent="0.35">
      <c r="A53" s="10">
        <v>2024</v>
      </c>
      <c r="B53" s="10" t="s">
        <v>19</v>
      </c>
      <c r="C53" s="10" t="s">
        <v>9</v>
      </c>
      <c r="D53" s="10">
        <v>0</v>
      </c>
      <c r="E53" s="10">
        <v>0</v>
      </c>
      <c r="F53" s="12">
        <f t="shared" si="2"/>
        <v>24</v>
      </c>
      <c r="G53" s="10">
        <v>0</v>
      </c>
      <c r="H53" s="16">
        <f>9738000+677000+47000+11799000+1581000+26596000</f>
        <v>50438000</v>
      </c>
      <c r="I53" s="10">
        <f>1082+72+5+1311+170+2984</f>
        <v>5624</v>
      </c>
      <c r="J53" s="10">
        <v>0</v>
      </c>
      <c r="K53" s="10">
        <v>16</v>
      </c>
      <c r="L53" s="10">
        <v>8</v>
      </c>
      <c r="M53" s="10">
        <v>0</v>
      </c>
      <c r="N53" s="10">
        <f>4+1</f>
        <v>5</v>
      </c>
      <c r="O53" s="10">
        <v>1</v>
      </c>
      <c r="P53" s="10">
        <v>0</v>
      </c>
      <c r="Q53" s="10">
        <v>0</v>
      </c>
    </row>
    <row r="54" spans="1:18" s="10" customFormat="1" x14ac:dyDescent="0.35">
      <c r="A54" s="10">
        <v>2024</v>
      </c>
      <c r="B54" s="10" t="s">
        <v>19</v>
      </c>
      <c r="C54" s="10" t="s">
        <v>10</v>
      </c>
      <c r="D54" s="10">
        <v>0</v>
      </c>
      <c r="E54" s="10">
        <v>0</v>
      </c>
      <c r="F54" s="12">
        <f t="shared" si="2"/>
        <v>43</v>
      </c>
      <c r="G54" s="10">
        <v>0</v>
      </c>
      <c r="H54" s="16">
        <f>13141000+66412000</f>
        <v>79553000</v>
      </c>
      <c r="I54" s="10">
        <f>1398+5993</f>
        <v>7391</v>
      </c>
      <c r="J54" s="10">
        <v>0</v>
      </c>
      <c r="K54" s="10">
        <v>73</v>
      </c>
      <c r="L54" s="10">
        <v>0</v>
      </c>
      <c r="M54" s="10">
        <v>4</v>
      </c>
      <c r="N54" s="10">
        <v>0</v>
      </c>
      <c r="O54" s="10">
        <v>0</v>
      </c>
      <c r="P54" s="10">
        <v>0</v>
      </c>
      <c r="Q54" s="10">
        <v>2</v>
      </c>
    </row>
    <row r="55" spans="1:18" s="10" customFormat="1" x14ac:dyDescent="0.35">
      <c r="A55" s="10">
        <v>2024</v>
      </c>
      <c r="B55" s="10" t="s">
        <v>19</v>
      </c>
      <c r="C55" s="10" t="s">
        <v>11</v>
      </c>
      <c r="D55" s="10">
        <v>0</v>
      </c>
      <c r="E55" s="10">
        <v>0</v>
      </c>
      <c r="F55" s="12">
        <f t="shared" si="2"/>
        <v>70</v>
      </c>
      <c r="G55" s="10">
        <v>0</v>
      </c>
      <c r="H55" s="16">
        <f>12384000+13545000+1955000+14814000+46845000</f>
        <v>89543000</v>
      </c>
      <c r="I55" s="10">
        <f>1376+1505+1+208+2795</f>
        <v>5885</v>
      </c>
      <c r="J55" s="10">
        <v>0</v>
      </c>
      <c r="K55" s="10">
        <v>56</v>
      </c>
      <c r="L55" s="10">
        <v>10</v>
      </c>
      <c r="M55" s="10">
        <v>0</v>
      </c>
      <c r="N55" s="10">
        <v>4</v>
      </c>
      <c r="O55" s="10">
        <v>0</v>
      </c>
      <c r="P55" s="10">
        <v>0</v>
      </c>
      <c r="Q55" s="10">
        <v>3</v>
      </c>
    </row>
    <row r="56" spans="1:18" s="10" customFormat="1" x14ac:dyDescent="0.35">
      <c r="A56" s="10">
        <v>2024</v>
      </c>
      <c r="B56" s="10" t="s">
        <v>19</v>
      </c>
      <c r="C56" s="10" t="s">
        <v>12</v>
      </c>
      <c r="D56" s="10">
        <v>0</v>
      </c>
      <c r="E56" s="10">
        <v>0</v>
      </c>
      <c r="F56" s="12">
        <f t="shared" si="2"/>
        <v>30</v>
      </c>
      <c r="G56" s="10">
        <v>0</v>
      </c>
      <c r="H56" s="16">
        <f>40896000+14861000+16684000</f>
        <v>72441000</v>
      </c>
      <c r="I56" s="10">
        <f>4544+1581+1849</f>
        <v>7974</v>
      </c>
      <c r="J56" s="10">
        <v>0</v>
      </c>
      <c r="K56" s="10">
        <v>23</v>
      </c>
      <c r="L56" s="10">
        <v>8</v>
      </c>
      <c r="M56" s="10">
        <v>0</v>
      </c>
      <c r="N56" s="10">
        <v>0</v>
      </c>
      <c r="O56" s="10">
        <v>0</v>
      </c>
      <c r="P56" s="10">
        <v>0</v>
      </c>
      <c r="Q56" s="10">
        <v>0</v>
      </c>
    </row>
    <row r="57" spans="1:18" s="10" customFormat="1" x14ac:dyDescent="0.35">
      <c r="A57" s="10">
        <v>2024</v>
      </c>
      <c r="B57" s="10" t="s">
        <v>20</v>
      </c>
      <c r="C57" s="10" t="s">
        <v>8</v>
      </c>
      <c r="D57" s="10">
        <v>0</v>
      </c>
      <c r="E57" s="10">
        <v>0</v>
      </c>
      <c r="F57" s="12">
        <f t="shared" si="2"/>
        <v>92</v>
      </c>
      <c r="G57" s="10">
        <v>0</v>
      </c>
      <c r="H57" s="16">
        <f>7704000+2702000+46192000</f>
        <v>56598000</v>
      </c>
      <c r="I57" s="10">
        <f>856+614+4230</f>
        <v>5700</v>
      </c>
      <c r="J57" s="10">
        <v>0</v>
      </c>
      <c r="K57" s="10">
        <v>81</v>
      </c>
      <c r="L57" s="10">
        <f>3</f>
        <v>3</v>
      </c>
      <c r="M57" s="10">
        <v>0</v>
      </c>
      <c r="N57" s="10">
        <v>0</v>
      </c>
      <c r="O57" s="10">
        <v>0</v>
      </c>
      <c r="P57" s="10">
        <v>0</v>
      </c>
      <c r="Q57" s="10">
        <v>52</v>
      </c>
    </row>
    <row r="58" spans="1:18" s="10" customFormat="1" x14ac:dyDescent="0.35">
      <c r="A58" s="10">
        <v>2024</v>
      </c>
      <c r="B58" s="10" t="s">
        <v>20</v>
      </c>
      <c r="C58" s="10" t="s">
        <v>9</v>
      </c>
      <c r="D58" s="10">
        <v>0</v>
      </c>
      <c r="E58" s="10">
        <v>0</v>
      </c>
      <c r="F58" s="12">
        <f t="shared" si="2"/>
        <v>30</v>
      </c>
      <c r="G58" s="10">
        <v>0</v>
      </c>
      <c r="H58" s="16">
        <f>63513000+77975000</f>
        <v>141488000</v>
      </c>
      <c r="I58" s="10">
        <f>7057+7260</f>
        <v>14317</v>
      </c>
      <c r="J58" s="10">
        <v>0</v>
      </c>
      <c r="K58" s="10">
        <v>13</v>
      </c>
      <c r="L58" s="10">
        <v>5</v>
      </c>
      <c r="M58" s="10">
        <v>0</v>
      </c>
      <c r="N58" s="10">
        <v>0</v>
      </c>
      <c r="O58" s="10">
        <v>0</v>
      </c>
      <c r="P58" s="10">
        <v>0</v>
      </c>
      <c r="Q58" s="10">
        <v>0</v>
      </c>
    </row>
    <row r="59" spans="1:18" s="10" customFormat="1" x14ac:dyDescent="0.35">
      <c r="A59" s="10">
        <v>2024</v>
      </c>
      <c r="B59" s="10" t="s">
        <v>20</v>
      </c>
      <c r="C59" s="10" t="s">
        <v>10</v>
      </c>
      <c r="D59" s="10">
        <v>0</v>
      </c>
      <c r="E59" s="10">
        <v>0</v>
      </c>
      <c r="F59" s="12">
        <f t="shared" si="2"/>
        <v>79</v>
      </c>
      <c r="G59" s="10">
        <v>0</v>
      </c>
      <c r="H59" s="16">
        <f>13536000+57462000</f>
        <v>70998000</v>
      </c>
      <c r="I59" s="10">
        <f>1440+6113</f>
        <v>7553</v>
      </c>
      <c r="J59" s="10">
        <v>0</v>
      </c>
      <c r="K59" s="10">
        <v>0</v>
      </c>
      <c r="L59" s="10">
        <v>0</v>
      </c>
      <c r="M59" s="10">
        <v>74</v>
      </c>
      <c r="N59" s="10">
        <v>2</v>
      </c>
      <c r="O59" s="10">
        <v>7</v>
      </c>
      <c r="P59" s="10">
        <v>1</v>
      </c>
      <c r="Q59" s="10">
        <v>0</v>
      </c>
    </row>
    <row r="60" spans="1:18" s="10" customFormat="1" x14ac:dyDescent="0.35">
      <c r="A60" s="10">
        <v>2024</v>
      </c>
      <c r="B60" s="10" t="s">
        <v>20</v>
      </c>
      <c r="C60" s="10" t="s">
        <v>11</v>
      </c>
      <c r="D60" s="10">
        <v>0</v>
      </c>
      <c r="E60" s="10">
        <v>0</v>
      </c>
      <c r="F60" s="12">
        <f t="shared" si="2"/>
        <v>73</v>
      </c>
      <c r="G60" s="10">
        <v>0</v>
      </c>
      <c r="H60" s="16">
        <f>9036000+5565000+128800+11967000+41565000+35678000</f>
        <v>103939800</v>
      </c>
      <c r="I60" s="10">
        <f>1004+592+125+2572+4285+3846</f>
        <v>12424</v>
      </c>
      <c r="J60" s="10">
        <v>0</v>
      </c>
      <c r="K60" s="10">
        <v>38</v>
      </c>
      <c r="L60" s="10">
        <v>3</v>
      </c>
      <c r="M60" s="10">
        <v>0</v>
      </c>
      <c r="N60" s="10">
        <v>0</v>
      </c>
      <c r="O60" s="10">
        <v>0</v>
      </c>
      <c r="P60" s="10">
        <v>0</v>
      </c>
      <c r="Q60" s="10">
        <v>9</v>
      </c>
    </row>
    <row r="61" spans="1:18" s="10" customFormat="1" x14ac:dyDescent="0.35">
      <c r="A61" s="10">
        <v>2024</v>
      </c>
      <c r="B61" s="10" t="s">
        <v>20</v>
      </c>
      <c r="C61" s="10" t="s">
        <v>12</v>
      </c>
      <c r="D61" s="10">
        <v>0</v>
      </c>
      <c r="E61" s="10">
        <v>0</v>
      </c>
      <c r="F61" s="12">
        <f t="shared" si="2"/>
        <v>31</v>
      </c>
      <c r="G61" s="10">
        <v>0</v>
      </c>
      <c r="H61" s="16">
        <f>25389000+22176000+23776000+18453000</f>
        <v>89794000</v>
      </c>
      <c r="I61" s="10">
        <f>2821+2153+4486+2046</f>
        <v>11506</v>
      </c>
      <c r="J61" s="10">
        <v>0</v>
      </c>
      <c r="K61" s="10">
        <v>26</v>
      </c>
      <c r="L61" s="10">
        <v>7</v>
      </c>
      <c r="M61" s="10">
        <v>0</v>
      </c>
      <c r="N61" s="10">
        <v>4</v>
      </c>
      <c r="O61" s="10">
        <v>1</v>
      </c>
      <c r="Q61" s="10">
        <v>13</v>
      </c>
    </row>
    <row r="62" spans="1:18" s="10" customFormat="1" x14ac:dyDescent="0.35">
      <c r="A62" s="10">
        <v>2024</v>
      </c>
      <c r="B62" s="10" t="s">
        <v>21</v>
      </c>
      <c r="C62" s="10" t="s">
        <v>8</v>
      </c>
      <c r="D62" s="10">
        <v>0</v>
      </c>
      <c r="E62" s="10">
        <v>0</v>
      </c>
      <c r="F62" s="12">
        <f t="shared" si="2"/>
        <v>136</v>
      </c>
      <c r="G62" s="10">
        <v>0</v>
      </c>
      <c r="H62" s="16">
        <f>43308000+1808000+135971000+9120800+64278000</f>
        <v>254485800</v>
      </c>
      <c r="I62" s="10">
        <f>4812+411+14465+9703+5587</f>
        <v>34978</v>
      </c>
      <c r="J62" s="10">
        <v>0</v>
      </c>
      <c r="K62" s="10">
        <v>98</v>
      </c>
      <c r="L62" s="10">
        <f>11+2</f>
        <v>13</v>
      </c>
      <c r="M62" s="10">
        <v>8</v>
      </c>
      <c r="O62" s="10">
        <v>0</v>
      </c>
      <c r="P62" s="10">
        <v>0</v>
      </c>
      <c r="Q62" s="10">
        <v>6</v>
      </c>
    </row>
    <row r="63" spans="1:18" s="10" customFormat="1" x14ac:dyDescent="0.35">
      <c r="A63" s="10">
        <v>2024</v>
      </c>
      <c r="B63" s="10" t="s">
        <v>21</v>
      </c>
      <c r="C63" s="10" t="s">
        <v>9</v>
      </c>
      <c r="D63" s="10">
        <v>0</v>
      </c>
      <c r="E63" s="10">
        <v>0</v>
      </c>
      <c r="F63" s="12">
        <f t="shared" si="2"/>
        <v>18</v>
      </c>
      <c r="G63" s="10">
        <v>0</v>
      </c>
      <c r="H63" s="16">
        <f>2547000+1507000+22835000</f>
        <v>26889000</v>
      </c>
      <c r="I63" s="10">
        <f>283+162+1136</f>
        <v>1581</v>
      </c>
      <c r="J63" s="10">
        <v>0</v>
      </c>
      <c r="K63" s="10">
        <v>12</v>
      </c>
      <c r="L63" s="10">
        <v>3</v>
      </c>
      <c r="M63" s="10">
        <v>0</v>
      </c>
      <c r="N63" s="10">
        <v>1</v>
      </c>
      <c r="O63" s="10">
        <v>0</v>
      </c>
      <c r="P63" s="10">
        <v>0</v>
      </c>
      <c r="Q63" s="10">
        <v>0</v>
      </c>
    </row>
    <row r="64" spans="1:18" s="10" customFormat="1" x14ac:dyDescent="0.35">
      <c r="A64" s="10">
        <v>2024</v>
      </c>
      <c r="B64" s="10" t="s">
        <v>21</v>
      </c>
      <c r="C64" s="10" t="s">
        <v>10</v>
      </c>
      <c r="D64" s="10">
        <v>0</v>
      </c>
      <c r="E64" s="10">
        <v>0</v>
      </c>
      <c r="F64" s="12">
        <f t="shared" si="2"/>
        <v>84</v>
      </c>
      <c r="G64" s="10">
        <v>0</v>
      </c>
      <c r="H64" s="16">
        <f>4672000+91816000</f>
        <v>96488000</v>
      </c>
      <c r="I64" s="10">
        <f>497+9954</f>
        <v>10451</v>
      </c>
      <c r="J64" s="10">
        <v>0</v>
      </c>
      <c r="K64" s="10">
        <v>90</v>
      </c>
      <c r="M64" s="10">
        <v>4</v>
      </c>
      <c r="N64" s="10">
        <v>0</v>
      </c>
      <c r="O64" s="10">
        <v>0</v>
      </c>
      <c r="P64" s="10">
        <v>0</v>
      </c>
      <c r="Q64" s="10">
        <v>0</v>
      </c>
      <c r="R64" s="13"/>
    </row>
    <row r="65" spans="1:17" s="10" customFormat="1" x14ac:dyDescent="0.35">
      <c r="A65" s="10">
        <v>2024</v>
      </c>
      <c r="B65" s="10" t="s">
        <v>21</v>
      </c>
      <c r="C65" s="10" t="s">
        <v>11</v>
      </c>
      <c r="D65" s="10">
        <v>0</v>
      </c>
      <c r="E65" s="10">
        <v>0</v>
      </c>
      <c r="F65" s="12">
        <f t="shared" si="2"/>
        <v>50</v>
      </c>
      <c r="G65" s="10">
        <v>0</v>
      </c>
      <c r="H65" s="16">
        <f>1980000+291000+2349000+60294000</f>
        <v>64914000</v>
      </c>
      <c r="I65" s="10">
        <f>220+31+261+3711</f>
        <v>4223</v>
      </c>
      <c r="J65" s="10">
        <v>0</v>
      </c>
      <c r="K65" s="10">
        <v>48</v>
      </c>
      <c r="L65" s="10">
        <v>1</v>
      </c>
      <c r="M65" s="10">
        <v>1</v>
      </c>
      <c r="N65" s="10">
        <v>0</v>
      </c>
      <c r="O65" s="10">
        <v>0</v>
      </c>
      <c r="P65" s="10">
        <v>0</v>
      </c>
      <c r="Q65" s="10">
        <v>0</v>
      </c>
    </row>
    <row r="66" spans="1:17" s="10" customFormat="1" x14ac:dyDescent="0.35">
      <c r="A66" s="10">
        <v>2024</v>
      </c>
      <c r="B66" s="10" t="s">
        <v>21</v>
      </c>
      <c r="C66" s="10" t="s">
        <v>12</v>
      </c>
      <c r="D66" s="10">
        <v>0</v>
      </c>
      <c r="E66" s="10">
        <v>0</v>
      </c>
      <c r="F66" s="12">
        <f t="shared" si="2"/>
        <v>51</v>
      </c>
      <c r="G66" s="10">
        <v>0</v>
      </c>
      <c r="H66" s="16">
        <f>22266000+33802000+8075000+23225000</f>
        <v>87368000</v>
      </c>
      <c r="I66" s="10">
        <f>2474+3596+784+2532</f>
        <v>9386</v>
      </c>
      <c r="J66" s="10">
        <v>0</v>
      </c>
      <c r="K66" s="10">
        <v>34</v>
      </c>
      <c r="L66" s="10">
        <v>7</v>
      </c>
      <c r="M66" s="10">
        <v>0</v>
      </c>
      <c r="N66" s="10">
        <v>1</v>
      </c>
      <c r="O66" s="10">
        <v>0</v>
      </c>
      <c r="P66" s="10">
        <v>0</v>
      </c>
      <c r="Q66" s="10">
        <v>1</v>
      </c>
    </row>
    <row r="67" spans="1:17" s="10" customFormat="1" x14ac:dyDescent="0.35">
      <c r="A67">
        <v>2023</v>
      </c>
      <c r="B67" s="10" t="s">
        <v>7</v>
      </c>
      <c r="C67" s="10" t="s">
        <v>8</v>
      </c>
      <c r="D67" s="10">
        <v>0</v>
      </c>
      <c r="E67" s="10">
        <v>0</v>
      </c>
      <c r="F67" s="12">
        <f>50+3+2+7</f>
        <v>62</v>
      </c>
      <c r="G67" s="10">
        <v>0</v>
      </c>
      <c r="H67" s="16">
        <f>24001000+788000+6853000+31704000</f>
        <v>63346000</v>
      </c>
      <c r="I67" s="10">
        <f>4947+221+1458+566+4088</f>
        <v>11280</v>
      </c>
      <c r="J67" s="10">
        <v>0</v>
      </c>
      <c r="K67" s="10">
        <v>67</v>
      </c>
      <c r="L67" s="10">
        <v>8</v>
      </c>
      <c r="M67" s="10">
        <v>0</v>
      </c>
      <c r="N67" s="10">
        <v>0</v>
      </c>
      <c r="O67" s="10">
        <v>0</v>
      </c>
      <c r="P67" s="10">
        <v>1</v>
      </c>
      <c r="Q67" s="10">
        <v>6</v>
      </c>
    </row>
    <row r="68" spans="1:17" s="10" customFormat="1" x14ac:dyDescent="0.35">
      <c r="A68">
        <v>2023</v>
      </c>
      <c r="B68" s="10" t="s">
        <v>7</v>
      </c>
      <c r="C68" s="10" t="s">
        <v>9</v>
      </c>
      <c r="D68" s="10">
        <v>0</v>
      </c>
      <c r="E68" s="10">
        <v>0</v>
      </c>
      <c r="F68" s="12">
        <f>2+1+3+9</f>
        <v>15</v>
      </c>
      <c r="G68" s="10">
        <v>0</v>
      </c>
      <c r="H68" s="16">
        <f>4223000+950000</f>
        <v>5173000</v>
      </c>
      <c r="I68" s="10">
        <f>1426+139+178+453+21214+441</f>
        <v>23851</v>
      </c>
      <c r="J68" s="10">
        <v>0</v>
      </c>
      <c r="K68" s="10">
        <v>10</v>
      </c>
      <c r="L68" s="10">
        <v>9</v>
      </c>
      <c r="M68" s="10">
        <v>0</v>
      </c>
      <c r="N68" s="10">
        <v>1</v>
      </c>
      <c r="O68" s="10">
        <v>1</v>
      </c>
      <c r="P68" s="10">
        <v>5</v>
      </c>
      <c r="Q68" s="10">
        <v>2</v>
      </c>
    </row>
    <row r="69" spans="1:17" s="10" customFormat="1" x14ac:dyDescent="0.35">
      <c r="A69">
        <v>2023</v>
      </c>
      <c r="B69" s="10" t="s">
        <v>7</v>
      </c>
      <c r="C69" s="10" t="s">
        <v>10</v>
      </c>
      <c r="D69" s="10">
        <v>0</v>
      </c>
      <c r="E69" s="10">
        <v>0</v>
      </c>
      <c r="F69" s="12">
        <v>91</v>
      </c>
      <c r="G69" s="10">
        <v>0</v>
      </c>
      <c r="H69" s="16">
        <f>10086000+41969000</f>
        <v>52055000</v>
      </c>
      <c r="I69" s="10">
        <f>3376+4777</f>
        <v>8153</v>
      </c>
      <c r="J69" s="10">
        <v>0</v>
      </c>
      <c r="K69" s="10">
        <v>55</v>
      </c>
      <c r="L69" s="10">
        <v>0</v>
      </c>
      <c r="M69" s="10">
        <v>0</v>
      </c>
      <c r="N69" s="10">
        <v>0</v>
      </c>
      <c r="O69" s="10">
        <v>0</v>
      </c>
      <c r="P69" s="10">
        <v>36</v>
      </c>
      <c r="Q69" s="10">
        <v>0</v>
      </c>
    </row>
    <row r="70" spans="1:17" s="10" customFormat="1" x14ac:dyDescent="0.35">
      <c r="A70">
        <v>2023</v>
      </c>
      <c r="B70" s="10" t="s">
        <v>7</v>
      </c>
      <c r="C70" s="10" t="s">
        <v>11</v>
      </c>
      <c r="D70" s="10">
        <v>0</v>
      </c>
      <c r="E70" s="10">
        <v>0</v>
      </c>
      <c r="F70" s="12">
        <v>43</v>
      </c>
      <c r="G70" s="10">
        <v>0</v>
      </c>
      <c r="H70" s="16">
        <f>13068000+1457000+16853000+20808000</f>
        <v>52186000</v>
      </c>
      <c r="I70" s="10">
        <f>440+1298+3066</f>
        <v>4804</v>
      </c>
      <c r="J70" s="10">
        <v>0</v>
      </c>
      <c r="K70" s="10">
        <v>41</v>
      </c>
      <c r="L70" s="10">
        <v>3</v>
      </c>
      <c r="M70" s="10">
        <v>0</v>
      </c>
      <c r="N70" s="10">
        <v>0</v>
      </c>
      <c r="O70" s="10">
        <v>0</v>
      </c>
      <c r="P70" s="10">
        <v>0</v>
      </c>
      <c r="Q70" s="10">
        <v>0</v>
      </c>
    </row>
    <row r="71" spans="1:17" s="10" customFormat="1" x14ac:dyDescent="0.35">
      <c r="A71">
        <v>2023</v>
      </c>
      <c r="B71" s="10" t="s">
        <v>7</v>
      </c>
      <c r="C71" s="10" t="s">
        <v>12</v>
      </c>
      <c r="D71" s="10">
        <v>0</v>
      </c>
      <c r="E71" s="10">
        <v>0</v>
      </c>
      <c r="F71" s="10">
        <f>8+20</f>
        <v>28</v>
      </c>
      <c r="G71" s="10">
        <v>0</v>
      </c>
      <c r="H71" s="16">
        <f>19890000+12843000</f>
        <v>32733000</v>
      </c>
      <c r="I71" s="10">
        <f>3585+237+2333</f>
        <v>6155</v>
      </c>
      <c r="J71" s="10">
        <v>0</v>
      </c>
      <c r="K71" s="10">
        <v>34</v>
      </c>
      <c r="L71" s="10">
        <v>8</v>
      </c>
      <c r="M71" s="10">
        <v>0</v>
      </c>
      <c r="N71" s="10">
        <v>0</v>
      </c>
      <c r="O71" s="10">
        <v>0</v>
      </c>
      <c r="P71" s="10">
        <v>0</v>
      </c>
      <c r="Q71" s="10">
        <v>1</v>
      </c>
    </row>
    <row r="72" spans="1:17" s="10" customFormat="1" x14ac:dyDescent="0.35">
      <c r="A72">
        <v>2023</v>
      </c>
      <c r="B72" s="10" t="s">
        <v>27</v>
      </c>
      <c r="C72" s="10" t="s">
        <v>8</v>
      </c>
      <c r="D72" s="10">
        <v>0</v>
      </c>
      <c r="E72" s="10">
        <v>0</v>
      </c>
      <c r="F72" s="12">
        <f>SUM(J67:Q67)</f>
        <v>82</v>
      </c>
      <c r="G72" s="10">
        <v>0</v>
      </c>
      <c r="H72" s="16">
        <f>44523000+972000+13705000+5264000+45522000</f>
        <v>109986000</v>
      </c>
      <c r="I72" s="10">
        <f>4947+221+1458+566+4088</f>
        <v>11280</v>
      </c>
      <c r="J72" s="10">
        <v>0</v>
      </c>
      <c r="K72" s="10">
        <v>67</v>
      </c>
      <c r="L72" s="10">
        <f>8+1</f>
        <v>9</v>
      </c>
      <c r="M72" s="10">
        <v>0</v>
      </c>
      <c r="N72" s="10">
        <v>0</v>
      </c>
      <c r="P72" s="10">
        <v>1</v>
      </c>
      <c r="Q72" s="10">
        <v>0</v>
      </c>
    </row>
    <row r="73" spans="1:17" s="10" customFormat="1" x14ac:dyDescent="0.35">
      <c r="A73">
        <v>2023</v>
      </c>
      <c r="B73" s="10" t="s">
        <v>27</v>
      </c>
      <c r="C73" s="10" t="s">
        <v>9</v>
      </c>
      <c r="D73" s="10">
        <v>0</v>
      </c>
      <c r="E73" s="10">
        <v>0</v>
      </c>
      <c r="F73" s="12">
        <f>SUM(J68:Q68)</f>
        <v>28</v>
      </c>
      <c r="G73" s="10">
        <v>0</v>
      </c>
      <c r="H73" s="16">
        <f>12264000+1251000+1531000+3986000+106070000+250000</f>
        <v>125352000</v>
      </c>
      <c r="I73" s="10">
        <f>1426+139+178+453+21214+441</f>
        <v>23851</v>
      </c>
      <c r="J73" s="10">
        <v>0</v>
      </c>
      <c r="K73" s="10">
        <v>10</v>
      </c>
      <c r="L73" s="10">
        <v>9</v>
      </c>
      <c r="M73" s="10">
        <v>0</v>
      </c>
      <c r="N73" s="10">
        <v>1</v>
      </c>
      <c r="O73" s="10">
        <v>1</v>
      </c>
      <c r="P73" s="10">
        <f>4+1</f>
        <v>5</v>
      </c>
      <c r="Q73" s="10">
        <v>0</v>
      </c>
    </row>
    <row r="74" spans="1:17" s="10" customFormat="1" x14ac:dyDescent="0.35">
      <c r="A74">
        <v>2023</v>
      </c>
      <c r="B74" s="10" t="s">
        <v>27</v>
      </c>
      <c r="C74" s="10" t="s">
        <v>10</v>
      </c>
      <c r="D74" s="10">
        <v>0</v>
      </c>
      <c r="E74" s="10">
        <v>0</v>
      </c>
      <c r="F74" s="12">
        <f>SUM(J63:R64)</f>
        <v>110</v>
      </c>
      <c r="G74" s="10">
        <v>0</v>
      </c>
      <c r="H74" s="16">
        <f>31734000+44745000</f>
        <v>76479000</v>
      </c>
      <c r="I74" s="10">
        <f>3376+4777</f>
        <v>8153</v>
      </c>
      <c r="J74" s="10">
        <v>0</v>
      </c>
      <c r="K74" s="10">
        <v>55</v>
      </c>
      <c r="L74" s="10">
        <v>0</v>
      </c>
      <c r="M74" s="10">
        <v>36</v>
      </c>
      <c r="N74" s="10">
        <v>0</v>
      </c>
      <c r="O74" s="10">
        <v>0</v>
      </c>
      <c r="P74" s="10">
        <v>0</v>
      </c>
      <c r="Q74" s="10">
        <v>0</v>
      </c>
    </row>
    <row r="75" spans="1:17" s="10" customFormat="1" x14ac:dyDescent="0.35">
      <c r="A75">
        <v>2023</v>
      </c>
      <c r="B75" s="10" t="s">
        <v>27</v>
      </c>
      <c r="C75" s="10" t="s">
        <v>11</v>
      </c>
      <c r="D75" s="10">
        <v>0</v>
      </c>
      <c r="E75" s="10">
        <v>0</v>
      </c>
      <c r="F75" s="12">
        <f t="shared" ref="F75:F93" si="3">SUM(J70:Q70)</f>
        <v>44</v>
      </c>
      <c r="G75" s="10">
        <v>0</v>
      </c>
      <c r="H75" s="16">
        <f>3960000+12071000</f>
        <v>16031000</v>
      </c>
      <c r="I75" s="10">
        <f>440+1298</f>
        <v>1738</v>
      </c>
      <c r="J75" s="10">
        <v>0</v>
      </c>
      <c r="K75" s="10">
        <v>0</v>
      </c>
      <c r="L75" s="10">
        <v>3</v>
      </c>
      <c r="M75" s="10">
        <v>0</v>
      </c>
      <c r="N75" s="10">
        <v>0</v>
      </c>
      <c r="O75" s="10">
        <v>0</v>
      </c>
      <c r="P75" s="10">
        <v>0</v>
      </c>
      <c r="Q75" s="10">
        <v>0</v>
      </c>
    </row>
    <row r="76" spans="1:17" s="10" customFormat="1" x14ac:dyDescent="0.35">
      <c r="A76">
        <v>2023</v>
      </c>
      <c r="B76" s="10" t="s">
        <v>27</v>
      </c>
      <c r="C76" s="10" t="s">
        <v>12</v>
      </c>
      <c r="D76" s="10">
        <v>0</v>
      </c>
      <c r="E76" s="10">
        <v>0</v>
      </c>
      <c r="F76" s="12">
        <f t="shared" si="3"/>
        <v>43</v>
      </c>
      <c r="G76" s="10">
        <v>0</v>
      </c>
      <c r="H76" s="16">
        <f>32265000+2228000+21161000</f>
        <v>55654000</v>
      </c>
      <c r="I76" s="10">
        <f>3585+237+2333</f>
        <v>6155</v>
      </c>
      <c r="J76" s="10">
        <v>0</v>
      </c>
      <c r="K76" s="10">
        <v>34</v>
      </c>
      <c r="L76" s="10">
        <v>8</v>
      </c>
      <c r="M76" s="10">
        <v>0</v>
      </c>
      <c r="N76" s="10">
        <v>0</v>
      </c>
      <c r="Q76" s="10">
        <v>2</v>
      </c>
    </row>
    <row r="77" spans="1:17" s="10" customFormat="1" x14ac:dyDescent="0.35">
      <c r="A77">
        <v>2023</v>
      </c>
      <c r="B77" s="10" t="s">
        <v>26</v>
      </c>
      <c r="C77" t="s">
        <v>8</v>
      </c>
      <c r="D77" s="10">
        <v>0</v>
      </c>
      <c r="E77" s="10">
        <v>0</v>
      </c>
      <c r="F77" s="12">
        <f t="shared" si="3"/>
        <v>77</v>
      </c>
      <c r="G77" s="10">
        <v>0</v>
      </c>
      <c r="H77" s="16">
        <f>46638000+2055000+2122000+119377000+8087000+35896000</f>
        <v>214175000</v>
      </c>
      <c r="I77" s="14">
        <f>5182+467+206+22524+919+3203</f>
        <v>32501</v>
      </c>
      <c r="J77" s="10">
        <v>0</v>
      </c>
      <c r="K77" s="10">
        <v>60</v>
      </c>
      <c r="L77" s="10">
        <v>18</v>
      </c>
      <c r="M77" s="10">
        <v>0</v>
      </c>
      <c r="N77" s="10">
        <v>2</v>
      </c>
      <c r="O77" s="10">
        <v>3</v>
      </c>
      <c r="P77" s="10">
        <v>1</v>
      </c>
      <c r="Q77" s="10">
        <v>0</v>
      </c>
    </row>
    <row r="78" spans="1:17" s="10" customFormat="1" x14ac:dyDescent="0.35">
      <c r="A78">
        <v>2023</v>
      </c>
      <c r="B78" s="10" t="s">
        <v>26</v>
      </c>
      <c r="C78" t="s">
        <v>9</v>
      </c>
      <c r="D78" s="10">
        <v>0</v>
      </c>
      <c r="E78" s="10">
        <v>0</v>
      </c>
      <c r="F78" s="10">
        <f t="shared" si="3"/>
        <v>26</v>
      </c>
      <c r="G78" s="10">
        <v>0</v>
      </c>
      <c r="H78" s="16">
        <f>16470000+9000+8279000+2837000+31589000</f>
        <v>59184000</v>
      </c>
      <c r="I78" s="14">
        <f>1830+1+1562+305+2106</f>
        <v>5804</v>
      </c>
      <c r="J78" s="16">
        <v>0</v>
      </c>
      <c r="K78" s="14">
        <v>21</v>
      </c>
      <c r="L78" s="10">
        <v>8</v>
      </c>
      <c r="M78" s="10">
        <v>0</v>
      </c>
      <c r="N78" s="10">
        <v>0</v>
      </c>
      <c r="O78" s="10">
        <v>4</v>
      </c>
      <c r="P78" s="10">
        <f>2+1+1</f>
        <v>4</v>
      </c>
      <c r="Q78" s="10">
        <v>1</v>
      </c>
    </row>
    <row r="79" spans="1:17" s="10" customFormat="1" x14ac:dyDescent="0.35">
      <c r="A79">
        <v>2023</v>
      </c>
      <c r="B79" s="10" t="s">
        <v>26</v>
      </c>
      <c r="C79" t="s">
        <v>10</v>
      </c>
      <c r="D79" s="10">
        <v>0</v>
      </c>
      <c r="E79" s="10">
        <v>0</v>
      </c>
      <c r="F79" s="12">
        <f t="shared" si="3"/>
        <v>91</v>
      </c>
      <c r="G79" s="10">
        <v>0</v>
      </c>
      <c r="H79" s="16">
        <f>78810000</f>
        <v>78810000</v>
      </c>
      <c r="I79" s="10">
        <f>8308</f>
        <v>8308</v>
      </c>
      <c r="J79" s="10">
        <v>0</v>
      </c>
      <c r="K79" s="10">
        <v>89</v>
      </c>
      <c r="L79" s="10">
        <v>0</v>
      </c>
      <c r="M79" s="10">
        <v>0</v>
      </c>
      <c r="N79" s="10">
        <v>0</v>
      </c>
      <c r="O79" s="10">
        <v>0</v>
      </c>
      <c r="P79" s="10">
        <v>0</v>
      </c>
      <c r="Q79" s="10">
        <v>0</v>
      </c>
    </row>
    <row r="80" spans="1:17" s="10" customFormat="1" x14ac:dyDescent="0.35">
      <c r="A80">
        <v>2023</v>
      </c>
      <c r="B80" s="10" t="s">
        <v>26</v>
      </c>
      <c r="C80" t="s">
        <v>11</v>
      </c>
      <c r="D80" s="10">
        <v>0</v>
      </c>
      <c r="E80" s="10">
        <v>0</v>
      </c>
      <c r="F80" s="12">
        <f t="shared" si="3"/>
        <v>3</v>
      </c>
      <c r="G80" s="10">
        <v>0</v>
      </c>
      <c r="H80" s="16">
        <f>10206000+31890000</f>
        <v>42096000</v>
      </c>
      <c r="I80" s="10">
        <f>1134+3544</f>
        <v>4678</v>
      </c>
      <c r="J80" s="10">
        <v>0</v>
      </c>
      <c r="K80" s="10">
        <v>58</v>
      </c>
      <c r="L80" s="10">
        <v>3</v>
      </c>
      <c r="M80" s="10">
        <v>0</v>
      </c>
      <c r="N80" s="10">
        <v>0</v>
      </c>
      <c r="O80" s="10">
        <v>0</v>
      </c>
      <c r="P80" s="10">
        <v>0</v>
      </c>
      <c r="Q80" s="10">
        <v>0</v>
      </c>
    </row>
    <row r="81" spans="1:17" s="10" customFormat="1" x14ac:dyDescent="0.35">
      <c r="A81">
        <v>2023</v>
      </c>
      <c r="B81" s="10" t="s">
        <v>26</v>
      </c>
      <c r="C81" t="s">
        <v>12</v>
      </c>
      <c r="D81" s="10">
        <v>0</v>
      </c>
      <c r="E81" s="10">
        <v>0</v>
      </c>
      <c r="F81" s="12">
        <f t="shared" si="3"/>
        <v>44</v>
      </c>
      <c r="G81" s="10">
        <v>0</v>
      </c>
      <c r="H81" s="16">
        <f>25668000+9184000+56753000+30663000</f>
        <v>122268000</v>
      </c>
      <c r="I81" s="10">
        <f>2852+977+5510+2146</f>
        <v>11485</v>
      </c>
      <c r="J81" s="10">
        <v>0</v>
      </c>
      <c r="K81" s="10">
        <v>40</v>
      </c>
      <c r="L81" s="10">
        <v>8</v>
      </c>
      <c r="M81" s="10">
        <v>0</v>
      </c>
      <c r="N81" s="10">
        <v>2</v>
      </c>
      <c r="O81" s="10">
        <v>0</v>
      </c>
      <c r="Q81" s="10">
        <v>4</v>
      </c>
    </row>
    <row r="82" spans="1:17" s="10" customFormat="1" x14ac:dyDescent="0.35">
      <c r="A82">
        <v>2023</v>
      </c>
      <c r="B82" t="s">
        <v>13</v>
      </c>
      <c r="C82" t="s">
        <v>8</v>
      </c>
      <c r="D82" s="10">
        <v>0</v>
      </c>
      <c r="E82" s="10">
        <v>0</v>
      </c>
      <c r="F82" s="12">
        <f t="shared" si="3"/>
        <v>84</v>
      </c>
      <c r="G82" s="10">
        <v>0</v>
      </c>
      <c r="H82" s="16">
        <f>40320000+5245000+67519000</f>
        <v>113084000</v>
      </c>
      <c r="I82" s="14">
        <f>4480+564+6024</f>
        <v>11068</v>
      </c>
      <c r="J82" s="10">
        <v>0</v>
      </c>
      <c r="K82" s="10">
        <v>109</v>
      </c>
      <c r="L82" s="10">
        <v>15</v>
      </c>
      <c r="M82" s="10">
        <v>0</v>
      </c>
      <c r="N82" s="10">
        <v>0</v>
      </c>
      <c r="O82" s="10">
        <v>0</v>
      </c>
      <c r="P82" s="10">
        <v>1</v>
      </c>
      <c r="Q82" s="10">
        <v>19</v>
      </c>
    </row>
    <row r="83" spans="1:17" s="10" customFormat="1" x14ac:dyDescent="0.35">
      <c r="A83">
        <v>2023</v>
      </c>
      <c r="B83" t="s">
        <v>13</v>
      </c>
      <c r="C83" t="s">
        <v>9</v>
      </c>
      <c r="D83" s="10">
        <v>0</v>
      </c>
      <c r="E83" s="10">
        <v>0</v>
      </c>
      <c r="F83" s="12">
        <f t="shared" si="3"/>
        <v>38</v>
      </c>
      <c r="G83" s="10">
        <v>0</v>
      </c>
      <c r="H83" s="16">
        <f>4239000+48607000+12519000+48102000</f>
        <v>113467000</v>
      </c>
      <c r="I83" s="14">
        <f>471+5171+2362+5345</f>
        <v>13349</v>
      </c>
      <c r="J83" s="10">
        <v>0</v>
      </c>
      <c r="K83" s="10">
        <v>31</v>
      </c>
      <c r="L83" s="10">
        <v>2388</v>
      </c>
      <c r="M83" s="10">
        <v>0</v>
      </c>
      <c r="N83" s="10">
        <v>0</v>
      </c>
      <c r="O83" s="10">
        <v>1</v>
      </c>
      <c r="Q83" s="10">
        <v>0</v>
      </c>
    </row>
    <row r="84" spans="1:17" s="10" customFormat="1" x14ac:dyDescent="0.35">
      <c r="A84">
        <v>2023</v>
      </c>
      <c r="B84" t="s">
        <v>13</v>
      </c>
      <c r="C84" t="s">
        <v>10</v>
      </c>
      <c r="D84" s="10">
        <v>0</v>
      </c>
      <c r="E84" s="10">
        <v>0</v>
      </c>
      <c r="F84" s="12">
        <f t="shared" si="3"/>
        <v>89</v>
      </c>
      <c r="G84" s="10">
        <v>0</v>
      </c>
      <c r="H84" s="16">
        <f>51839000+165373000</f>
        <v>217212000</v>
      </c>
      <c r="I84" s="14">
        <f>9781+18222</f>
        <v>28003</v>
      </c>
      <c r="J84" s="10">
        <v>0</v>
      </c>
      <c r="K84" s="10">
        <v>103</v>
      </c>
      <c r="L84" s="10">
        <v>1</v>
      </c>
      <c r="M84" s="10">
        <v>0</v>
      </c>
      <c r="N84" s="10">
        <v>0</v>
      </c>
      <c r="O84" s="10">
        <v>0</v>
      </c>
      <c r="P84" s="10">
        <v>0</v>
      </c>
      <c r="Q84" s="10">
        <v>0</v>
      </c>
    </row>
    <row r="85" spans="1:17" s="10" customFormat="1" x14ac:dyDescent="0.35">
      <c r="A85">
        <v>2023</v>
      </c>
      <c r="B85" t="s">
        <v>13</v>
      </c>
      <c r="C85" t="s">
        <v>11</v>
      </c>
      <c r="D85" s="10">
        <v>0</v>
      </c>
      <c r="E85" s="10">
        <v>0</v>
      </c>
      <c r="F85" s="12">
        <f t="shared" si="3"/>
        <v>61</v>
      </c>
      <c r="G85" s="10">
        <v>0</v>
      </c>
      <c r="H85" s="16">
        <f>15399000+13959000+7547000+77171000</f>
        <v>114076000</v>
      </c>
      <c r="I85" s="14">
        <f>1711+1485+1424+8618</f>
        <v>13238</v>
      </c>
      <c r="J85" s="10">
        <v>0</v>
      </c>
      <c r="K85" s="10">
        <v>84</v>
      </c>
      <c r="L85" s="10">
        <v>12</v>
      </c>
      <c r="M85" s="10">
        <v>48</v>
      </c>
      <c r="N85" s="10">
        <v>0</v>
      </c>
      <c r="O85" s="10">
        <v>2</v>
      </c>
      <c r="P85" s="10">
        <v>0</v>
      </c>
      <c r="Q85" s="10">
        <v>0</v>
      </c>
    </row>
    <row r="86" spans="1:17" s="10" customFormat="1" x14ac:dyDescent="0.35">
      <c r="A86">
        <v>2023</v>
      </c>
      <c r="B86" t="s">
        <v>13</v>
      </c>
      <c r="C86" t="s">
        <v>12</v>
      </c>
      <c r="D86" s="10">
        <v>0</v>
      </c>
      <c r="E86" s="10">
        <v>0</v>
      </c>
      <c r="F86" s="12">
        <f t="shared" si="3"/>
        <v>54</v>
      </c>
      <c r="G86" s="10">
        <v>0</v>
      </c>
      <c r="H86" s="16">
        <f>16749000+7069000+24767000</f>
        <v>48585000</v>
      </c>
      <c r="I86" s="14">
        <f>1861+752+2743</f>
        <v>5356</v>
      </c>
      <c r="J86" s="10">
        <v>0</v>
      </c>
      <c r="K86" s="10">
        <v>45</v>
      </c>
      <c r="L86" s="10">
        <v>7</v>
      </c>
      <c r="M86" s="10">
        <v>0</v>
      </c>
      <c r="N86" s="10">
        <v>0</v>
      </c>
      <c r="O86" s="10">
        <v>0</v>
      </c>
      <c r="P86" s="10">
        <v>0</v>
      </c>
      <c r="Q86" s="10">
        <v>0</v>
      </c>
    </row>
    <row r="87" spans="1:17" s="10" customFormat="1" x14ac:dyDescent="0.35">
      <c r="A87">
        <v>2023</v>
      </c>
      <c r="B87" t="s">
        <v>14</v>
      </c>
      <c r="C87" t="s">
        <v>8</v>
      </c>
      <c r="D87" s="10">
        <v>0</v>
      </c>
      <c r="E87" s="10">
        <v>0</v>
      </c>
      <c r="F87" s="12">
        <f t="shared" si="3"/>
        <v>144</v>
      </c>
      <c r="G87" s="10">
        <v>0</v>
      </c>
      <c r="H87" s="16">
        <f>15255000+876000+52038000+25348000+11495000+56962000</f>
        <v>161974000</v>
      </c>
      <c r="I87" s="14">
        <f>1695+199+5536+2461+1236+4856</f>
        <v>15983</v>
      </c>
      <c r="J87" s="10">
        <v>0</v>
      </c>
      <c r="K87" s="10">
        <v>98</v>
      </c>
      <c r="L87" s="10">
        <v>4</v>
      </c>
      <c r="M87" s="10">
        <v>0</v>
      </c>
      <c r="N87" s="10">
        <v>2</v>
      </c>
      <c r="O87" s="10">
        <v>0</v>
      </c>
      <c r="P87" s="10">
        <v>0</v>
      </c>
      <c r="Q87" s="10">
        <v>0</v>
      </c>
    </row>
    <row r="88" spans="1:17" s="10" customFormat="1" x14ac:dyDescent="0.35">
      <c r="A88">
        <v>2023</v>
      </c>
      <c r="B88" t="s">
        <v>14</v>
      </c>
      <c r="C88" t="s">
        <v>9</v>
      </c>
      <c r="D88" s="10">
        <v>0</v>
      </c>
      <c r="E88" s="10">
        <v>0</v>
      </c>
      <c r="F88" s="12">
        <f t="shared" si="3"/>
        <v>2420</v>
      </c>
      <c r="G88" s="10">
        <v>0</v>
      </c>
      <c r="H88" s="16">
        <f>16434000+39079000+11141000+9000+13786000</f>
        <v>80449000</v>
      </c>
      <c r="I88" s="14">
        <f>1826+4202+2102+1+1534</f>
        <v>9665</v>
      </c>
      <c r="J88" s="10">
        <v>0</v>
      </c>
      <c r="K88" s="10">
        <v>24</v>
      </c>
      <c r="L88" s="10">
        <v>9</v>
      </c>
      <c r="M88" s="10">
        <v>0</v>
      </c>
      <c r="N88" s="10">
        <v>3</v>
      </c>
      <c r="O88" s="10">
        <v>4</v>
      </c>
      <c r="P88" s="10">
        <v>0</v>
      </c>
      <c r="Q88" s="10">
        <v>0</v>
      </c>
    </row>
    <row r="89" spans="1:17" s="10" customFormat="1" x14ac:dyDescent="0.35">
      <c r="A89">
        <v>2023</v>
      </c>
      <c r="B89" t="s">
        <v>14</v>
      </c>
      <c r="C89" t="s">
        <v>10</v>
      </c>
      <c r="D89" s="10">
        <v>0</v>
      </c>
      <c r="E89" s="10">
        <v>0</v>
      </c>
      <c r="F89" s="12">
        <f t="shared" si="3"/>
        <v>104</v>
      </c>
      <c r="G89" s="10">
        <v>0</v>
      </c>
      <c r="H89" s="16">
        <f>12195000+48586000</f>
        <v>60781000</v>
      </c>
      <c r="I89" s="14">
        <f>1355+5296</f>
        <v>6651</v>
      </c>
      <c r="J89" s="10">
        <v>0</v>
      </c>
      <c r="K89" s="10">
        <v>56</v>
      </c>
      <c r="L89" s="10">
        <v>3</v>
      </c>
      <c r="M89" s="10">
        <v>0</v>
      </c>
      <c r="N89" s="10">
        <v>0</v>
      </c>
      <c r="O89" s="10">
        <v>0</v>
      </c>
      <c r="P89" s="10">
        <v>0</v>
      </c>
      <c r="Q89" s="10">
        <v>0</v>
      </c>
    </row>
    <row r="90" spans="1:17" s="10" customFormat="1" x14ac:dyDescent="0.35">
      <c r="A90">
        <v>2023</v>
      </c>
      <c r="B90" t="s">
        <v>14</v>
      </c>
      <c r="C90" t="s">
        <v>11</v>
      </c>
      <c r="D90" s="10">
        <v>0</v>
      </c>
      <c r="E90" s="10">
        <v>0</v>
      </c>
      <c r="F90" s="12">
        <f t="shared" si="3"/>
        <v>146</v>
      </c>
      <c r="G90" s="10">
        <v>0</v>
      </c>
      <c r="H90" s="16">
        <f>13905000+37843000</f>
        <v>51748000</v>
      </c>
      <c r="I90" s="14">
        <f>1545+4242</f>
        <v>5787</v>
      </c>
      <c r="J90" s="10">
        <v>0</v>
      </c>
      <c r="K90" s="10">
        <v>58</v>
      </c>
      <c r="L90" s="10">
        <v>8</v>
      </c>
      <c r="M90" s="10">
        <v>0</v>
      </c>
      <c r="N90" s="10">
        <v>0</v>
      </c>
      <c r="O90" s="10">
        <v>0</v>
      </c>
      <c r="P90" s="10">
        <v>0</v>
      </c>
      <c r="Q90" s="10">
        <v>0</v>
      </c>
    </row>
    <row r="91" spans="1:17" s="10" customFormat="1" x14ac:dyDescent="0.35">
      <c r="A91">
        <v>2023</v>
      </c>
      <c r="B91" t="s">
        <v>14</v>
      </c>
      <c r="C91" t="s">
        <v>12</v>
      </c>
      <c r="D91" s="10">
        <v>0</v>
      </c>
      <c r="E91" s="10">
        <v>0</v>
      </c>
      <c r="F91" s="12">
        <f t="shared" si="3"/>
        <v>52</v>
      </c>
      <c r="G91" s="10">
        <v>0</v>
      </c>
      <c r="H91" s="16">
        <f>29691000+40211000</f>
        <v>69902000</v>
      </c>
      <c r="I91" s="14">
        <v>4478</v>
      </c>
      <c r="J91" s="10">
        <v>0</v>
      </c>
      <c r="K91" s="10">
        <v>38</v>
      </c>
      <c r="L91" s="10">
        <v>8</v>
      </c>
      <c r="M91" s="10">
        <v>0</v>
      </c>
      <c r="N91" s="10">
        <v>0</v>
      </c>
      <c r="O91" s="10">
        <v>0</v>
      </c>
      <c r="P91" s="10">
        <v>0</v>
      </c>
      <c r="Q91" s="10">
        <v>19</v>
      </c>
    </row>
    <row r="92" spans="1:17" s="10" customFormat="1" x14ac:dyDescent="0.35">
      <c r="A92">
        <v>2023</v>
      </c>
      <c r="B92" t="s">
        <v>15</v>
      </c>
      <c r="C92" t="s">
        <v>8</v>
      </c>
      <c r="D92" s="10">
        <v>0</v>
      </c>
      <c r="E92" s="10">
        <v>0</v>
      </c>
      <c r="F92" s="12">
        <f t="shared" si="3"/>
        <v>104</v>
      </c>
      <c r="G92" s="10">
        <v>0</v>
      </c>
      <c r="H92" s="16">
        <f>12312000+8963000+38230000+243000+687000+254686000</f>
        <v>315121000</v>
      </c>
      <c r="I92" s="14">
        <f>1368+2037+4067+27+78+27378</f>
        <v>34955</v>
      </c>
      <c r="J92" s="10">
        <v>0</v>
      </c>
      <c r="K92" s="10">
        <v>109</v>
      </c>
      <c r="L92" s="10">
        <v>11</v>
      </c>
      <c r="M92" s="10">
        <v>0</v>
      </c>
      <c r="N92" s="10">
        <v>0</v>
      </c>
      <c r="O92" s="10">
        <v>0</v>
      </c>
      <c r="P92" s="10">
        <v>2</v>
      </c>
      <c r="Q92" s="10">
        <v>114</v>
      </c>
    </row>
    <row r="93" spans="1:17" s="10" customFormat="1" x14ac:dyDescent="0.35">
      <c r="A93">
        <v>2023</v>
      </c>
      <c r="B93" t="s">
        <v>15</v>
      </c>
      <c r="C93" t="s">
        <v>9</v>
      </c>
      <c r="D93" s="10">
        <v>0</v>
      </c>
      <c r="E93" s="10">
        <v>0</v>
      </c>
      <c r="F93" s="12">
        <f t="shared" si="3"/>
        <v>40</v>
      </c>
      <c r="G93" s="10">
        <v>0</v>
      </c>
      <c r="H93" s="16">
        <f>15336000+66197000+12581000</f>
        <v>94114000</v>
      </c>
      <c r="I93" s="14">
        <f>1704+7118+1400</f>
        <v>10222</v>
      </c>
      <c r="J93" s="10">
        <v>0</v>
      </c>
      <c r="K93" s="10">
        <v>23</v>
      </c>
      <c r="L93" s="10">
        <v>7</v>
      </c>
      <c r="M93" s="10">
        <v>0</v>
      </c>
      <c r="N93" s="10">
        <v>1</v>
      </c>
      <c r="O93" s="10">
        <v>0</v>
      </c>
    </row>
    <row r="94" spans="1:17" s="10" customFormat="1" x14ac:dyDescent="0.35">
      <c r="A94">
        <v>2023</v>
      </c>
      <c r="B94" t="s">
        <v>15</v>
      </c>
      <c r="C94" t="s">
        <v>10</v>
      </c>
      <c r="D94" s="10">
        <v>0</v>
      </c>
      <c r="E94" s="10">
        <v>0</v>
      </c>
      <c r="F94" s="12">
        <f>SUM(K89:Q89)</f>
        <v>59</v>
      </c>
      <c r="G94" s="10">
        <v>0</v>
      </c>
      <c r="H94" s="16">
        <f>14504000+48603000</f>
        <v>63107000</v>
      </c>
      <c r="I94" s="14">
        <f>1543+3901</f>
        <v>5444</v>
      </c>
      <c r="J94" s="10">
        <v>0</v>
      </c>
      <c r="K94" s="10">
        <v>55</v>
      </c>
      <c r="L94" s="10">
        <v>0</v>
      </c>
      <c r="M94" s="10">
        <v>8</v>
      </c>
      <c r="N94" s="10">
        <v>0</v>
      </c>
      <c r="O94" s="10">
        <v>0</v>
      </c>
      <c r="P94" s="10">
        <v>0</v>
      </c>
      <c r="Q94" s="10">
        <v>3</v>
      </c>
    </row>
    <row r="95" spans="1:17" s="10" customFormat="1" x14ac:dyDescent="0.35">
      <c r="A95">
        <v>2023</v>
      </c>
      <c r="B95" t="s">
        <v>15</v>
      </c>
      <c r="C95" t="s">
        <v>11</v>
      </c>
      <c r="D95" s="10">
        <v>0</v>
      </c>
      <c r="E95" s="10">
        <v>0</v>
      </c>
      <c r="F95" s="12">
        <f t="shared" ref="F95:F100" si="4">SUM(J90:Q90)</f>
        <v>66</v>
      </c>
      <c r="G95" s="10">
        <v>0</v>
      </c>
      <c r="H95" s="16">
        <v>38312000</v>
      </c>
      <c r="I95" s="14">
        <f>1761+722+4194</f>
        <v>6677</v>
      </c>
      <c r="J95" s="10">
        <v>0</v>
      </c>
      <c r="K95" s="10">
        <v>66</v>
      </c>
      <c r="L95" s="10">
        <v>8</v>
      </c>
      <c r="M95" s="10">
        <v>0</v>
      </c>
      <c r="N95" s="10">
        <v>0</v>
      </c>
      <c r="O95" s="10">
        <v>0</v>
      </c>
      <c r="P95" s="10">
        <v>0</v>
      </c>
    </row>
    <row r="96" spans="1:17" s="10" customFormat="1" x14ac:dyDescent="0.35">
      <c r="A96">
        <v>2023</v>
      </c>
      <c r="B96" t="s">
        <v>15</v>
      </c>
      <c r="C96" t="s">
        <v>12</v>
      </c>
      <c r="D96" s="10">
        <v>0</v>
      </c>
      <c r="E96" s="10">
        <v>0</v>
      </c>
      <c r="F96" s="12">
        <f t="shared" si="4"/>
        <v>65</v>
      </c>
      <c r="G96" s="10">
        <v>0</v>
      </c>
      <c r="H96" s="16">
        <f>45072000+14730000+23438000</f>
        <v>83240000</v>
      </c>
      <c r="I96" s="14">
        <f>5008+1567+2605</f>
        <v>9180</v>
      </c>
      <c r="J96" s="10">
        <v>0</v>
      </c>
      <c r="K96" s="10">
        <v>42</v>
      </c>
      <c r="L96" s="10">
        <v>10</v>
      </c>
      <c r="M96" s="10">
        <v>0</v>
      </c>
      <c r="N96" s="10">
        <v>0</v>
      </c>
      <c r="O96" s="10">
        <v>0</v>
      </c>
      <c r="P96" s="10">
        <v>0</v>
      </c>
    </row>
    <row r="97" spans="1:17" s="10" customFormat="1" x14ac:dyDescent="0.35">
      <c r="A97">
        <v>2023</v>
      </c>
      <c r="B97" t="s">
        <v>16</v>
      </c>
      <c r="C97" t="s">
        <v>8</v>
      </c>
      <c r="D97" s="10">
        <v>0</v>
      </c>
      <c r="E97" s="10">
        <v>0</v>
      </c>
      <c r="F97" s="12">
        <f t="shared" si="4"/>
        <v>236</v>
      </c>
      <c r="G97" s="10">
        <v>0</v>
      </c>
      <c r="H97" s="16">
        <f>29169000+125340000+55693000</f>
        <v>210202000</v>
      </c>
      <c r="I97" s="14">
        <f>3241+13334+5693</f>
        <v>22268</v>
      </c>
      <c r="J97" s="10">
        <v>0</v>
      </c>
      <c r="K97" s="10">
        <v>70</v>
      </c>
      <c r="L97" s="10">
        <v>11</v>
      </c>
      <c r="M97" s="10">
        <v>0</v>
      </c>
      <c r="N97" s="10">
        <v>0</v>
      </c>
      <c r="O97" s="10">
        <v>0</v>
      </c>
      <c r="P97" s="10">
        <v>0</v>
      </c>
      <c r="Q97" s="10">
        <v>22</v>
      </c>
    </row>
    <row r="98" spans="1:17" s="10" customFormat="1" x14ac:dyDescent="0.35">
      <c r="A98">
        <v>2023</v>
      </c>
      <c r="B98" t="s">
        <v>16</v>
      </c>
      <c r="C98" t="s">
        <v>9</v>
      </c>
      <c r="D98" s="10">
        <v>0</v>
      </c>
      <c r="E98" s="10">
        <v>0</v>
      </c>
      <c r="F98" s="12">
        <f t="shared" si="4"/>
        <v>31</v>
      </c>
      <c r="G98" s="10">
        <v>0</v>
      </c>
      <c r="H98" s="16">
        <f>12303000+429000+15531000</f>
        <v>28263000</v>
      </c>
      <c r="I98" s="14">
        <f>1367+81+1599</f>
        <v>3047</v>
      </c>
      <c r="J98" s="10">
        <v>0</v>
      </c>
      <c r="K98" s="10">
        <v>19</v>
      </c>
      <c r="L98" s="10">
        <v>8</v>
      </c>
      <c r="M98" s="10">
        <v>0</v>
      </c>
      <c r="N98" s="10">
        <v>2</v>
      </c>
      <c r="O98" s="10">
        <v>4</v>
      </c>
      <c r="P98" s="10">
        <v>0</v>
      </c>
    </row>
    <row r="99" spans="1:17" s="10" customFormat="1" x14ac:dyDescent="0.35">
      <c r="A99">
        <v>2023</v>
      </c>
      <c r="B99" t="s">
        <v>16</v>
      </c>
      <c r="C99" t="s">
        <v>10</v>
      </c>
      <c r="D99" s="10">
        <v>0</v>
      </c>
      <c r="E99" s="10">
        <v>0</v>
      </c>
      <c r="F99" s="12">
        <f t="shared" si="4"/>
        <v>66</v>
      </c>
      <c r="G99" s="10">
        <v>0</v>
      </c>
      <c r="H99" s="16">
        <f>8958000+5696000+120581000+72480000</f>
        <v>207715000</v>
      </c>
      <c r="I99" s="14">
        <f>953+606+12431+7754</f>
        <v>21744</v>
      </c>
      <c r="J99" s="10">
        <v>0</v>
      </c>
      <c r="K99" s="10">
        <v>53</v>
      </c>
      <c r="L99" s="10">
        <v>0</v>
      </c>
      <c r="M99" s="10">
        <v>1</v>
      </c>
      <c r="N99" s="10">
        <v>0</v>
      </c>
      <c r="O99" s="10">
        <v>0</v>
      </c>
      <c r="P99" s="10">
        <v>1</v>
      </c>
      <c r="Q99" s="10">
        <v>14</v>
      </c>
    </row>
    <row r="100" spans="1:17" s="10" customFormat="1" x14ac:dyDescent="0.35">
      <c r="A100">
        <v>2023</v>
      </c>
      <c r="B100" t="s">
        <v>16</v>
      </c>
      <c r="C100" t="s">
        <v>11</v>
      </c>
      <c r="D100" s="10">
        <v>0</v>
      </c>
      <c r="E100" s="10">
        <v>0</v>
      </c>
      <c r="F100" s="12">
        <f t="shared" si="4"/>
        <v>74</v>
      </c>
      <c r="G100" s="10">
        <v>0</v>
      </c>
      <c r="H100" s="16">
        <f>33291000+9889000+26840000+3392000+51797000</f>
        <v>125209000</v>
      </c>
      <c r="I100" s="14">
        <f>3699+1052+2886+640+5750</f>
        <v>14027</v>
      </c>
      <c r="J100" s="10">
        <v>0</v>
      </c>
      <c r="K100" s="10">
        <v>67</v>
      </c>
      <c r="L100" s="10">
        <v>9</v>
      </c>
      <c r="M100" s="10">
        <v>19</v>
      </c>
      <c r="N100" s="10">
        <v>1</v>
      </c>
      <c r="O100" s="10">
        <v>1</v>
      </c>
      <c r="Q100" s="10">
        <v>16</v>
      </c>
    </row>
    <row r="101" spans="1:17" s="10" customFormat="1" x14ac:dyDescent="0.35">
      <c r="A101">
        <v>2023</v>
      </c>
      <c r="B101" t="s">
        <v>16</v>
      </c>
      <c r="C101" t="s">
        <v>12</v>
      </c>
      <c r="D101" s="10">
        <v>0</v>
      </c>
      <c r="E101" s="10">
        <v>0</v>
      </c>
      <c r="F101" s="12"/>
      <c r="H101" s="16"/>
      <c r="I101" s="14"/>
      <c r="Q101" s="10">
        <v>19</v>
      </c>
    </row>
    <row r="102" spans="1:17" s="10" customFormat="1" x14ac:dyDescent="0.35">
      <c r="A102">
        <v>2023</v>
      </c>
      <c r="B102" s="10" t="s">
        <v>17</v>
      </c>
      <c r="C102" t="s">
        <v>8</v>
      </c>
      <c r="D102" s="10">
        <v>0</v>
      </c>
      <c r="E102" s="10">
        <v>0</v>
      </c>
      <c r="F102" s="12">
        <f t="shared" ref="F102:F120" si="5">SUM(J97:Q97)</f>
        <v>103</v>
      </c>
      <c r="G102" s="10">
        <v>0</v>
      </c>
      <c r="H102" s="16">
        <f>33408000+2020000+20699000+125128000</f>
        <v>181255000</v>
      </c>
      <c r="I102" s="14">
        <f>3712+459+2202+12439</f>
        <v>18812</v>
      </c>
      <c r="J102" s="10">
        <v>0</v>
      </c>
      <c r="K102" s="10">
        <v>96</v>
      </c>
      <c r="L102" s="10">
        <v>13</v>
      </c>
    </row>
    <row r="103" spans="1:17" s="10" customFormat="1" x14ac:dyDescent="0.35">
      <c r="A103">
        <v>2023</v>
      </c>
      <c r="B103" s="10" t="s">
        <v>17</v>
      </c>
      <c r="C103" t="s">
        <v>9</v>
      </c>
      <c r="D103" s="10">
        <v>0</v>
      </c>
      <c r="E103" s="10">
        <v>0</v>
      </c>
      <c r="F103" s="12">
        <f t="shared" si="5"/>
        <v>33</v>
      </c>
      <c r="G103" s="10">
        <v>0</v>
      </c>
      <c r="H103" s="16">
        <f>3753000+14626000+9000+281000+26712000</f>
        <v>45381000</v>
      </c>
      <c r="I103" s="14">
        <f>417+1556+1+53+3056</f>
        <v>5083</v>
      </c>
      <c r="J103" s="10">
        <v>0</v>
      </c>
      <c r="K103" s="10">
        <v>23</v>
      </c>
      <c r="L103" s="10">
        <v>4</v>
      </c>
      <c r="M103" s="10">
        <v>1</v>
      </c>
      <c r="O103" s="10">
        <v>1</v>
      </c>
      <c r="P103" s="10">
        <v>24</v>
      </c>
      <c r="Q103" s="10">
        <v>3</v>
      </c>
    </row>
    <row r="104" spans="1:17" s="10" customFormat="1" x14ac:dyDescent="0.35">
      <c r="A104">
        <v>2023</v>
      </c>
      <c r="B104" s="10" t="s">
        <v>17</v>
      </c>
      <c r="C104" t="s">
        <v>10</v>
      </c>
      <c r="D104" s="10">
        <v>0</v>
      </c>
      <c r="E104" s="10">
        <v>0</v>
      </c>
      <c r="F104" s="12">
        <f t="shared" si="5"/>
        <v>69</v>
      </c>
      <c r="G104" s="10">
        <v>0</v>
      </c>
      <c r="H104" s="16">
        <f>5445000+20266000+113992000</f>
        <v>139703000</v>
      </c>
      <c r="I104" s="14">
        <f>605+2156+12561</f>
        <v>15322</v>
      </c>
      <c r="J104" s="10">
        <v>0</v>
      </c>
      <c r="K104" s="10">
        <v>65</v>
      </c>
      <c r="L104" s="10">
        <v>2</v>
      </c>
    </row>
    <row r="105" spans="1:17" s="10" customFormat="1" x14ac:dyDescent="0.35">
      <c r="A105">
        <v>2023</v>
      </c>
      <c r="B105" s="10" t="s">
        <v>17</v>
      </c>
      <c r="C105" t="s">
        <v>11</v>
      </c>
      <c r="D105" s="10">
        <v>0</v>
      </c>
      <c r="E105" s="10">
        <v>0</v>
      </c>
      <c r="F105" s="12">
        <f t="shared" si="5"/>
        <v>113</v>
      </c>
      <c r="G105" s="10">
        <v>0</v>
      </c>
      <c r="H105" s="16">
        <f>34137000+12869000+9785000+29982000</f>
        <v>86773000</v>
      </c>
      <c r="I105" s="14">
        <f>3793+1369+1041+3243</f>
        <v>9446</v>
      </c>
      <c r="J105" s="10">
        <v>0</v>
      </c>
      <c r="K105" s="10">
        <v>64</v>
      </c>
      <c r="L105" s="10">
        <v>4</v>
      </c>
      <c r="P105" s="10">
        <v>13</v>
      </c>
      <c r="Q105" s="10">
        <v>2</v>
      </c>
    </row>
    <row r="106" spans="1:17" s="10" customFormat="1" x14ac:dyDescent="0.35">
      <c r="A106">
        <v>2023</v>
      </c>
      <c r="B106" s="10" t="s">
        <v>17</v>
      </c>
      <c r="C106" t="s">
        <v>12</v>
      </c>
      <c r="D106" s="10">
        <v>0</v>
      </c>
      <c r="E106" s="10">
        <v>0</v>
      </c>
      <c r="F106" s="12">
        <f t="shared" si="5"/>
        <v>19</v>
      </c>
      <c r="G106" s="10">
        <v>0</v>
      </c>
      <c r="H106" s="16">
        <f>44145000+13094000+453161000+20610000</f>
        <v>531010000</v>
      </c>
      <c r="I106" s="14">
        <f>4905+1393+3367+48727+2268</f>
        <v>60660</v>
      </c>
      <c r="J106" s="10">
        <v>0</v>
      </c>
      <c r="K106" s="10">
        <v>56</v>
      </c>
      <c r="L106" s="10">
        <v>13</v>
      </c>
      <c r="N106" s="10">
        <v>2</v>
      </c>
      <c r="Q106" s="10">
        <v>16</v>
      </c>
    </row>
    <row r="107" spans="1:17" s="10" customFormat="1" x14ac:dyDescent="0.35">
      <c r="A107">
        <v>2023</v>
      </c>
      <c r="B107" s="10" t="s">
        <v>18</v>
      </c>
      <c r="C107" t="s">
        <v>8</v>
      </c>
      <c r="D107" s="10">
        <v>0</v>
      </c>
      <c r="E107" s="10">
        <v>0</v>
      </c>
      <c r="F107" s="12">
        <f t="shared" si="5"/>
        <v>109</v>
      </c>
      <c r="G107" s="10">
        <v>0</v>
      </c>
      <c r="H107" s="16">
        <f>30753000+3133000+31885000+41155000+4465000+24611000</f>
        <v>136002000</v>
      </c>
      <c r="I107" s="14">
        <f>3417+712+3392+7765+893+1684</f>
        <v>17863</v>
      </c>
      <c r="J107" s="10">
        <v>0</v>
      </c>
      <c r="K107" s="10">
        <v>79</v>
      </c>
      <c r="L107" s="10" t="s">
        <v>36</v>
      </c>
      <c r="N107" s="10">
        <v>18</v>
      </c>
      <c r="O107" s="10">
        <v>2</v>
      </c>
      <c r="P107" s="10">
        <v>4</v>
      </c>
      <c r="Q107" s="10">
        <v>1</v>
      </c>
    </row>
    <row r="108" spans="1:17" s="10" customFormat="1" x14ac:dyDescent="0.35">
      <c r="A108">
        <v>2023</v>
      </c>
      <c r="B108" s="10" t="s">
        <v>18</v>
      </c>
      <c r="C108" t="s">
        <v>9</v>
      </c>
      <c r="D108" s="10">
        <v>0</v>
      </c>
      <c r="E108" s="10">
        <v>0</v>
      </c>
      <c r="F108" s="12">
        <f t="shared" si="5"/>
        <v>56</v>
      </c>
      <c r="G108" s="10">
        <v>0</v>
      </c>
      <c r="H108" s="16">
        <f>23922000+2876000+50652000+15059000+12866000+17603000</f>
        <v>122978000</v>
      </c>
      <c r="I108" s="14">
        <f>2658+306+5628+1462+1462+1983</f>
        <v>13499</v>
      </c>
      <c r="J108" s="10">
        <v>0</v>
      </c>
      <c r="K108" s="10">
        <v>18</v>
      </c>
      <c r="L108" s="10">
        <v>9</v>
      </c>
      <c r="M108" s="10">
        <v>2</v>
      </c>
      <c r="N108" s="10">
        <v>3</v>
      </c>
      <c r="P108" s="10">
        <v>3</v>
      </c>
    </row>
    <row r="109" spans="1:17" s="10" customFormat="1" x14ac:dyDescent="0.35">
      <c r="A109">
        <v>2023</v>
      </c>
      <c r="B109" s="10" t="s">
        <v>18</v>
      </c>
      <c r="C109" t="s">
        <v>10</v>
      </c>
      <c r="D109" s="10">
        <v>0</v>
      </c>
      <c r="E109" s="10">
        <v>0</v>
      </c>
      <c r="F109" s="12">
        <f t="shared" si="5"/>
        <v>67</v>
      </c>
      <c r="G109" s="10">
        <v>0</v>
      </c>
      <c r="H109" s="16">
        <f>7793000+129612000+295513000</f>
        <v>432918000</v>
      </c>
      <c r="I109" s="14">
        <f>838+24455+32083</f>
        <v>57376</v>
      </c>
      <c r="J109" s="10">
        <v>0</v>
      </c>
      <c r="K109" s="10">
        <v>55</v>
      </c>
      <c r="N109" s="10">
        <v>2</v>
      </c>
      <c r="O109" s="10">
        <v>3</v>
      </c>
      <c r="Q109" s="10">
        <v>73</v>
      </c>
    </row>
    <row r="110" spans="1:17" s="10" customFormat="1" x14ac:dyDescent="0.35">
      <c r="A110">
        <v>2023</v>
      </c>
      <c r="B110" s="10" t="s">
        <v>18</v>
      </c>
      <c r="C110" t="s">
        <v>11</v>
      </c>
      <c r="D110" s="10">
        <v>0</v>
      </c>
      <c r="E110" s="10">
        <v>0</v>
      </c>
      <c r="F110" s="12">
        <f t="shared" si="5"/>
        <v>83</v>
      </c>
      <c r="G110" s="10">
        <v>0</v>
      </c>
      <c r="H110" s="16">
        <f>15264000+893000+47093000</f>
        <v>63250000</v>
      </c>
      <c r="I110" s="14">
        <f>1696+95+5192</f>
        <v>6983</v>
      </c>
      <c r="J110" s="10">
        <v>0</v>
      </c>
      <c r="K110" s="10">
        <v>63</v>
      </c>
      <c r="L110" s="10">
        <v>6</v>
      </c>
      <c r="Q110" s="10">
        <v>5</v>
      </c>
    </row>
    <row r="111" spans="1:17" s="10" customFormat="1" x14ac:dyDescent="0.35">
      <c r="A111">
        <v>2023</v>
      </c>
      <c r="B111" s="10" t="s">
        <v>18</v>
      </c>
      <c r="C111" t="s">
        <v>12</v>
      </c>
      <c r="D111" s="10">
        <v>0</v>
      </c>
      <c r="E111" s="10">
        <v>0</v>
      </c>
      <c r="F111" s="12">
        <f t="shared" si="5"/>
        <v>87</v>
      </c>
      <c r="G111" s="10">
        <v>0</v>
      </c>
      <c r="H111" s="16">
        <f>1731600+15002000+9633000</f>
        <v>26366600</v>
      </c>
      <c r="I111" s="14">
        <f>1924+1596+1064</f>
        <v>4584</v>
      </c>
      <c r="J111" s="10">
        <v>0</v>
      </c>
      <c r="K111" s="10">
        <v>33</v>
      </c>
      <c r="L111" s="10">
        <v>7</v>
      </c>
    </row>
    <row r="112" spans="1:17" s="10" customFormat="1" x14ac:dyDescent="0.35">
      <c r="A112">
        <v>2023</v>
      </c>
      <c r="B112" s="10" t="s">
        <v>19</v>
      </c>
      <c r="C112" t="s">
        <v>8</v>
      </c>
      <c r="D112" s="10">
        <v>0</v>
      </c>
      <c r="E112" s="10">
        <v>0</v>
      </c>
      <c r="F112" s="12">
        <f t="shared" si="5"/>
        <v>104</v>
      </c>
      <c r="G112" s="10">
        <v>0</v>
      </c>
      <c r="H112" s="16">
        <f>11862000+779+972000+7203000+86901000</f>
        <v>106938779</v>
      </c>
      <c r="I112" s="14">
        <f>1318+177+108+26917+9078</f>
        <v>37598</v>
      </c>
      <c r="J112" s="10">
        <v>0</v>
      </c>
      <c r="K112" s="10">
        <v>43</v>
      </c>
      <c r="L112" s="10">
        <v>5</v>
      </c>
      <c r="O112" s="10">
        <v>2</v>
      </c>
      <c r="P112" s="10">
        <v>1</v>
      </c>
      <c r="Q112" s="10">
        <v>0</v>
      </c>
    </row>
    <row r="113" spans="1:17" s="10" customFormat="1" x14ac:dyDescent="0.35">
      <c r="A113">
        <v>2023</v>
      </c>
      <c r="B113" s="10" t="s">
        <v>19</v>
      </c>
      <c r="C113" t="s">
        <v>9</v>
      </c>
      <c r="D113" s="10">
        <v>0</v>
      </c>
      <c r="E113" s="10">
        <v>0</v>
      </c>
      <c r="F113" s="12">
        <f t="shared" si="5"/>
        <v>35</v>
      </c>
      <c r="G113" s="10">
        <v>0</v>
      </c>
      <c r="H113" s="16">
        <f>5211000+1000+84510000+15269000</f>
        <v>104991000</v>
      </c>
      <c r="I113" s="14">
        <f>579+1+9390+1726</f>
        <v>11696</v>
      </c>
      <c r="J113" s="10">
        <v>0</v>
      </c>
      <c r="K113" s="10">
        <v>8</v>
      </c>
      <c r="L113" s="10">
        <v>3</v>
      </c>
      <c r="O113" s="10">
        <v>1</v>
      </c>
      <c r="P113" s="10">
        <v>1</v>
      </c>
      <c r="Q113" s="10">
        <v>0</v>
      </c>
    </row>
    <row r="114" spans="1:17" s="10" customFormat="1" x14ac:dyDescent="0.35">
      <c r="A114">
        <v>2023</v>
      </c>
      <c r="B114" s="10" t="s">
        <v>19</v>
      </c>
      <c r="C114" t="s">
        <v>10</v>
      </c>
      <c r="D114" s="10">
        <v>0</v>
      </c>
      <c r="E114" s="10">
        <v>0</v>
      </c>
      <c r="F114" s="12">
        <f t="shared" si="5"/>
        <v>133</v>
      </c>
      <c r="G114" s="10">
        <v>0</v>
      </c>
      <c r="H114" s="16">
        <f>16506000+72615000+26893000</f>
        <v>116014000</v>
      </c>
      <c r="I114" s="14">
        <f>1834+7725+3070</f>
        <v>12629</v>
      </c>
      <c r="J114" s="10">
        <v>0</v>
      </c>
      <c r="K114" s="10">
        <v>47</v>
      </c>
      <c r="L114" s="10">
        <v>7</v>
      </c>
      <c r="Q114" s="10">
        <v>0</v>
      </c>
    </row>
    <row r="115" spans="1:17" s="10" customFormat="1" x14ac:dyDescent="0.35">
      <c r="A115">
        <v>2023</v>
      </c>
      <c r="B115" s="10" t="s">
        <v>19</v>
      </c>
      <c r="C115" t="s">
        <v>11</v>
      </c>
      <c r="D115" s="10">
        <v>0</v>
      </c>
      <c r="E115" s="10">
        <v>0</v>
      </c>
      <c r="F115" s="12">
        <f t="shared" si="5"/>
        <v>74</v>
      </c>
      <c r="G115" s="10">
        <v>0</v>
      </c>
      <c r="H115" s="16">
        <f>20178000+357000+50121000</f>
        <v>70656000</v>
      </c>
      <c r="I115" s="14">
        <f>2242+38+5631</f>
        <v>7911</v>
      </c>
      <c r="J115" s="10">
        <v>0</v>
      </c>
      <c r="K115" s="10">
        <v>50</v>
      </c>
      <c r="L115" s="10">
        <v>6</v>
      </c>
      <c r="Q115" s="10">
        <v>8</v>
      </c>
    </row>
    <row r="116" spans="1:17" s="10" customFormat="1" x14ac:dyDescent="0.35">
      <c r="A116">
        <v>2023</v>
      </c>
      <c r="B116" s="10" t="s">
        <v>19</v>
      </c>
      <c r="C116" t="s">
        <v>12</v>
      </c>
      <c r="D116" s="10">
        <v>0</v>
      </c>
      <c r="E116" s="10">
        <v>0</v>
      </c>
      <c r="F116" s="12">
        <f t="shared" si="5"/>
        <v>40</v>
      </c>
      <c r="H116" s="16">
        <f>16506000+26893000</f>
        <v>43399000</v>
      </c>
      <c r="I116" s="14">
        <f>1834+3070</f>
        <v>4904</v>
      </c>
      <c r="K116" s="10">
        <v>47</v>
      </c>
      <c r="L116" s="10">
        <v>7</v>
      </c>
      <c r="Q116" s="10">
        <v>2</v>
      </c>
    </row>
    <row r="117" spans="1:17" s="10" customFormat="1" x14ac:dyDescent="0.35">
      <c r="A117">
        <v>2023</v>
      </c>
      <c r="B117" s="10" t="s">
        <v>20</v>
      </c>
      <c r="C117" t="s">
        <v>8</v>
      </c>
      <c r="D117" s="10">
        <v>0</v>
      </c>
      <c r="E117" s="10">
        <v>0</v>
      </c>
      <c r="F117" s="12">
        <f t="shared" si="5"/>
        <v>51</v>
      </c>
      <c r="G117" s="10">
        <v>0</v>
      </c>
      <c r="H117" s="16">
        <f>6633000+3076000+54484000+59128000</f>
        <v>123321000</v>
      </c>
      <c r="I117" s="14">
        <f>737+699+1037+10280+5580</f>
        <v>18333</v>
      </c>
      <c r="J117" s="10">
        <v>0</v>
      </c>
      <c r="K117" s="10">
        <v>98</v>
      </c>
      <c r="L117" s="10">
        <v>0</v>
      </c>
      <c r="M117" s="10">
        <v>0</v>
      </c>
      <c r="N117" s="10">
        <v>0</v>
      </c>
      <c r="O117" s="10">
        <v>1</v>
      </c>
      <c r="P117" s="10">
        <v>36</v>
      </c>
      <c r="Q117" s="10">
        <v>7</v>
      </c>
    </row>
    <row r="118" spans="1:17" s="10" customFormat="1" x14ac:dyDescent="0.35">
      <c r="A118">
        <v>2023</v>
      </c>
      <c r="B118" s="10" t="s">
        <v>20</v>
      </c>
      <c r="C118" t="s">
        <v>9</v>
      </c>
      <c r="D118" s="10">
        <v>0</v>
      </c>
      <c r="E118" s="10">
        <v>0</v>
      </c>
      <c r="F118" s="12">
        <f t="shared" si="5"/>
        <v>13</v>
      </c>
      <c r="G118" s="10">
        <v>0</v>
      </c>
      <c r="H118" s="16">
        <f>13167000+35542000+18110000</f>
        <v>66819000</v>
      </c>
      <c r="I118" s="14">
        <f>1463+6706+2048</f>
        <v>10217</v>
      </c>
      <c r="J118" s="10">
        <v>0</v>
      </c>
      <c r="K118" s="10">
        <v>12</v>
      </c>
      <c r="L118" s="10">
        <v>5</v>
      </c>
      <c r="M118" s="10">
        <v>0</v>
      </c>
      <c r="N118" s="10">
        <v>1</v>
      </c>
      <c r="O118" s="10">
        <v>2</v>
      </c>
      <c r="P118" s="10">
        <v>0</v>
      </c>
      <c r="Q118" s="10">
        <v>0</v>
      </c>
    </row>
    <row r="119" spans="1:17" s="10" customFormat="1" x14ac:dyDescent="0.35">
      <c r="A119">
        <v>2023</v>
      </c>
      <c r="B119" s="10" t="s">
        <v>20</v>
      </c>
      <c r="C119" t="s">
        <v>10</v>
      </c>
      <c r="D119" s="10">
        <v>0</v>
      </c>
      <c r="E119" s="10">
        <v>0</v>
      </c>
      <c r="F119" s="12">
        <f t="shared" si="5"/>
        <v>54</v>
      </c>
      <c r="G119" s="10">
        <v>0</v>
      </c>
      <c r="H119" s="16">
        <f>8087000+65353000</f>
        <v>73440000</v>
      </c>
      <c r="I119" s="14">
        <f>919+5784</f>
        <v>6703</v>
      </c>
      <c r="J119" s="10">
        <v>0</v>
      </c>
      <c r="K119" s="10">
        <v>61</v>
      </c>
      <c r="L119" s="10">
        <v>0</v>
      </c>
      <c r="M119" s="10">
        <v>0</v>
      </c>
      <c r="N119" s="10">
        <v>2</v>
      </c>
      <c r="O119" s="10">
        <v>3</v>
      </c>
      <c r="P119" s="10">
        <v>1</v>
      </c>
      <c r="Q119" s="10">
        <v>10</v>
      </c>
    </row>
    <row r="120" spans="1:17" s="10" customFormat="1" x14ac:dyDescent="0.35">
      <c r="A120">
        <v>2023</v>
      </c>
      <c r="B120" s="10" t="s">
        <v>20</v>
      </c>
      <c r="C120" t="s">
        <v>11</v>
      </c>
      <c r="D120" s="10">
        <v>0</v>
      </c>
      <c r="E120" s="10">
        <v>0</v>
      </c>
      <c r="F120" s="12">
        <f t="shared" si="5"/>
        <v>64</v>
      </c>
      <c r="G120" s="10">
        <v>0</v>
      </c>
      <c r="H120" s="16">
        <f>14436000+7821000+46298000</f>
        <v>68555000</v>
      </c>
      <c r="I120" s="14">
        <f>1604+832+5136</f>
        <v>7572</v>
      </c>
      <c r="J120" s="10">
        <v>0</v>
      </c>
      <c r="K120" s="10">
        <v>68</v>
      </c>
      <c r="L120" s="10">
        <v>5</v>
      </c>
      <c r="M120" s="10">
        <v>0</v>
      </c>
      <c r="N120" s="10">
        <v>0</v>
      </c>
      <c r="O120" s="10">
        <v>0</v>
      </c>
      <c r="P120" s="10">
        <v>0</v>
      </c>
      <c r="Q120" s="10">
        <v>0</v>
      </c>
    </row>
    <row r="121" spans="1:17" s="10" customFormat="1" x14ac:dyDescent="0.35">
      <c r="A121">
        <v>2023</v>
      </c>
      <c r="B121" s="10" t="s">
        <v>20</v>
      </c>
      <c r="C121" t="s">
        <v>12</v>
      </c>
      <c r="D121" s="10">
        <v>0</v>
      </c>
      <c r="E121" s="10">
        <v>0</v>
      </c>
      <c r="F121" s="12"/>
      <c r="H121" s="16">
        <f>27945000+6119000+5141000+18443000</f>
        <v>57648000</v>
      </c>
      <c r="I121" s="14">
        <f>3105+651+530+2173</f>
        <v>6459</v>
      </c>
      <c r="K121" s="10">
        <v>36</v>
      </c>
      <c r="L121" s="10">
        <v>7</v>
      </c>
      <c r="P121" s="10">
        <v>1</v>
      </c>
      <c r="Q121" s="10">
        <v>0</v>
      </c>
    </row>
    <row r="122" spans="1:17" s="10" customFormat="1" x14ac:dyDescent="0.35">
      <c r="A122">
        <v>2023</v>
      </c>
      <c r="B122" s="10" t="s">
        <v>21</v>
      </c>
      <c r="C122" t="s">
        <v>8</v>
      </c>
      <c r="D122" s="10">
        <v>0</v>
      </c>
      <c r="E122" s="10">
        <v>0</v>
      </c>
      <c r="F122" s="12">
        <f t="shared" ref="F122:F131" si="6">SUM(J117:Q117)</f>
        <v>142</v>
      </c>
      <c r="G122" s="10">
        <v>0</v>
      </c>
      <c r="H122" s="16">
        <f>13887000+11694000+36833000</f>
        <v>62414000</v>
      </c>
      <c r="I122" s="14">
        <f>1543+1244+2955</f>
        <v>5742</v>
      </c>
      <c r="J122" s="10">
        <v>0</v>
      </c>
      <c r="K122" s="10">
        <v>80</v>
      </c>
      <c r="L122" s="10">
        <v>6</v>
      </c>
      <c r="M122" s="10">
        <v>0</v>
      </c>
      <c r="N122" s="10">
        <v>0</v>
      </c>
      <c r="O122" s="10">
        <v>0</v>
      </c>
      <c r="P122" s="10">
        <v>0</v>
      </c>
      <c r="Q122" s="10">
        <v>6</v>
      </c>
    </row>
    <row r="123" spans="1:17" s="10" customFormat="1" x14ac:dyDescent="0.35">
      <c r="A123">
        <v>2023</v>
      </c>
      <c r="B123" s="10" t="s">
        <v>21</v>
      </c>
      <c r="C123" t="s">
        <v>9</v>
      </c>
      <c r="D123" s="10">
        <v>0</v>
      </c>
      <c r="E123" s="10">
        <v>0</v>
      </c>
      <c r="F123" s="12">
        <f t="shared" si="6"/>
        <v>20</v>
      </c>
      <c r="G123" s="10">
        <v>0</v>
      </c>
      <c r="H123" s="16">
        <f>6867000+7672000</f>
        <v>14539000</v>
      </c>
      <c r="I123" s="14">
        <f>763+717</f>
        <v>1480</v>
      </c>
      <c r="J123" s="10">
        <v>0</v>
      </c>
      <c r="K123" s="10">
        <v>12</v>
      </c>
      <c r="L123" s="10">
        <v>4</v>
      </c>
      <c r="M123" s="10">
        <v>0</v>
      </c>
      <c r="N123" s="10">
        <v>3</v>
      </c>
      <c r="O123" s="10">
        <v>2</v>
      </c>
      <c r="P123" s="10">
        <v>0</v>
      </c>
      <c r="Q123" s="10">
        <v>1</v>
      </c>
    </row>
    <row r="124" spans="1:17" s="10" customFormat="1" x14ac:dyDescent="0.35">
      <c r="A124">
        <v>2023</v>
      </c>
      <c r="B124" s="10" t="s">
        <v>21</v>
      </c>
      <c r="C124" t="s">
        <v>10</v>
      </c>
      <c r="D124" s="10">
        <v>0</v>
      </c>
      <c r="E124" s="10">
        <v>0</v>
      </c>
      <c r="F124" s="12">
        <f t="shared" si="6"/>
        <v>77</v>
      </c>
      <c r="G124" s="10">
        <v>0</v>
      </c>
      <c r="H124" s="16">
        <f>10594000+45894000</f>
        <v>56488000</v>
      </c>
      <c r="I124" s="14">
        <f>1127+4728</f>
        <v>5855</v>
      </c>
      <c r="J124" s="10">
        <v>0</v>
      </c>
      <c r="K124" s="10">
        <v>68</v>
      </c>
      <c r="L124" s="10">
        <v>0</v>
      </c>
      <c r="M124" s="10">
        <v>0</v>
      </c>
      <c r="N124" s="10">
        <v>0</v>
      </c>
      <c r="O124" s="10">
        <v>0</v>
      </c>
      <c r="P124" s="10">
        <v>0</v>
      </c>
      <c r="Q124" s="10">
        <v>5</v>
      </c>
    </row>
    <row r="125" spans="1:17" s="10" customFormat="1" x14ac:dyDescent="0.35">
      <c r="A125">
        <v>2023</v>
      </c>
      <c r="B125" s="10" t="s">
        <v>21</v>
      </c>
      <c r="C125" t="s">
        <v>11</v>
      </c>
      <c r="D125" s="10">
        <v>0</v>
      </c>
      <c r="E125" s="10">
        <v>0</v>
      </c>
      <c r="F125" s="12">
        <f t="shared" si="6"/>
        <v>73</v>
      </c>
      <c r="G125" s="10">
        <v>0</v>
      </c>
      <c r="H125" s="16">
        <f>7740000+9973000+55944000</f>
        <v>73657000</v>
      </c>
      <c r="I125" s="14">
        <f>860+1061+6203</f>
        <v>8124</v>
      </c>
      <c r="J125" s="10">
        <v>0</v>
      </c>
      <c r="K125" s="10">
        <v>57</v>
      </c>
      <c r="L125" s="10">
        <v>6</v>
      </c>
      <c r="M125" s="10">
        <v>0</v>
      </c>
      <c r="N125" s="10">
        <v>0</v>
      </c>
      <c r="O125" s="10">
        <v>0</v>
      </c>
      <c r="P125" s="10">
        <v>6</v>
      </c>
      <c r="Q125" s="10">
        <v>0</v>
      </c>
    </row>
    <row r="126" spans="1:17" s="10" customFormat="1" x14ac:dyDescent="0.35">
      <c r="A126">
        <v>2023</v>
      </c>
      <c r="B126" s="10" t="s">
        <v>21</v>
      </c>
      <c r="C126" t="s">
        <v>12</v>
      </c>
      <c r="D126" s="10">
        <v>0</v>
      </c>
      <c r="E126" s="10">
        <v>0</v>
      </c>
      <c r="F126" s="12">
        <f t="shared" si="6"/>
        <v>44</v>
      </c>
      <c r="G126" s="10">
        <v>0</v>
      </c>
      <c r="H126" s="16">
        <f>32868000+5602000+29097000</f>
        <v>67567000</v>
      </c>
      <c r="I126" s="14">
        <f>3652+1057+3230</f>
        <v>7939</v>
      </c>
      <c r="J126" s="10">
        <v>0</v>
      </c>
      <c r="K126" s="10">
        <v>36</v>
      </c>
      <c r="L126" s="10">
        <v>11</v>
      </c>
      <c r="M126" s="10">
        <v>0</v>
      </c>
      <c r="N126" s="10">
        <v>0</v>
      </c>
      <c r="O126" s="10">
        <v>1</v>
      </c>
      <c r="P126" s="10">
        <v>0</v>
      </c>
      <c r="Q126" s="10">
        <v>11</v>
      </c>
    </row>
    <row r="127" spans="1:17" s="10" customFormat="1" x14ac:dyDescent="0.35">
      <c r="A127">
        <v>2022</v>
      </c>
      <c r="B127" s="10" t="s">
        <v>7</v>
      </c>
      <c r="C127" t="s">
        <v>8</v>
      </c>
      <c r="D127" s="10">
        <v>0</v>
      </c>
      <c r="E127" s="10">
        <v>0</v>
      </c>
      <c r="F127" s="12">
        <f t="shared" si="6"/>
        <v>92</v>
      </c>
      <c r="G127" s="10">
        <v>0</v>
      </c>
      <c r="H127" s="16">
        <f>4716000+11731000+25594000+33300000</f>
        <v>75341000</v>
      </c>
      <c r="I127" s="14">
        <f>524+1248+4829+3008</f>
        <v>9609</v>
      </c>
      <c r="J127" s="10">
        <v>0</v>
      </c>
      <c r="K127" s="10">
        <v>42</v>
      </c>
      <c r="L127" s="10">
        <v>1</v>
      </c>
      <c r="M127" s="10">
        <v>0</v>
      </c>
      <c r="N127" s="10">
        <v>0</v>
      </c>
      <c r="O127" s="10">
        <v>1</v>
      </c>
      <c r="P127" s="10">
        <v>0</v>
      </c>
      <c r="Q127" s="10">
        <v>0</v>
      </c>
    </row>
    <row r="128" spans="1:17" s="10" customFormat="1" x14ac:dyDescent="0.35">
      <c r="A128">
        <v>2022</v>
      </c>
      <c r="B128" s="10" t="s">
        <v>7</v>
      </c>
      <c r="C128" t="s">
        <v>9</v>
      </c>
      <c r="D128" s="10">
        <v>0</v>
      </c>
      <c r="E128" s="10">
        <v>0</v>
      </c>
      <c r="F128" s="12">
        <f t="shared" si="6"/>
        <v>22</v>
      </c>
      <c r="G128" s="10">
        <v>0</v>
      </c>
      <c r="H128" s="16">
        <f>9000+2202259000</f>
        <v>2202268000</v>
      </c>
      <c r="I128" s="14">
        <f>1+250251</f>
        <v>250252</v>
      </c>
      <c r="J128" s="10">
        <v>0</v>
      </c>
      <c r="K128" s="10">
        <v>9</v>
      </c>
      <c r="M128" s="10">
        <v>0</v>
      </c>
      <c r="N128" s="10">
        <v>1</v>
      </c>
      <c r="O128" s="10">
        <v>2</v>
      </c>
      <c r="P128" s="10">
        <v>0</v>
      </c>
      <c r="Q128" s="10">
        <v>0</v>
      </c>
    </row>
    <row r="129" spans="1:17" s="10" customFormat="1" x14ac:dyDescent="0.35">
      <c r="A129">
        <v>2022</v>
      </c>
      <c r="B129" s="10" t="s">
        <v>7</v>
      </c>
      <c r="C129" t="s">
        <v>10</v>
      </c>
      <c r="D129" s="10">
        <v>0</v>
      </c>
      <c r="E129" s="10">
        <v>0</v>
      </c>
      <c r="F129" s="12">
        <f t="shared" si="6"/>
        <v>73</v>
      </c>
      <c r="G129" s="10">
        <v>0</v>
      </c>
      <c r="H129" s="16">
        <f>6570000+10895000+5395000+80531000</f>
        <v>103391000</v>
      </c>
      <c r="I129" s="14">
        <f>730+1159+1018+8997</f>
        <v>11904</v>
      </c>
      <c r="J129" s="10">
        <v>0</v>
      </c>
      <c r="K129" s="10">
        <v>28</v>
      </c>
      <c r="L129" s="10">
        <v>2</v>
      </c>
      <c r="M129" s="10">
        <v>0</v>
      </c>
      <c r="N129" s="10">
        <v>0</v>
      </c>
      <c r="O129" s="10">
        <v>2</v>
      </c>
      <c r="P129" s="10">
        <v>0</v>
      </c>
      <c r="Q129" s="10">
        <v>0</v>
      </c>
    </row>
    <row r="130" spans="1:17" s="10" customFormat="1" x14ac:dyDescent="0.35">
      <c r="A130">
        <v>2022</v>
      </c>
      <c r="B130" s="10" t="s">
        <v>7</v>
      </c>
      <c r="C130" t="s">
        <v>11</v>
      </c>
      <c r="D130" s="10">
        <v>0</v>
      </c>
      <c r="E130" s="10">
        <v>0</v>
      </c>
      <c r="F130" s="12">
        <f t="shared" si="6"/>
        <v>69</v>
      </c>
      <c r="G130" s="10">
        <v>0</v>
      </c>
      <c r="H130" s="16">
        <f>12321000+34839000</f>
        <v>47160000</v>
      </c>
      <c r="I130" s="14">
        <f>1369+3835</f>
        <v>5204</v>
      </c>
      <c r="J130" s="10">
        <v>0</v>
      </c>
      <c r="K130" s="10">
        <v>58</v>
      </c>
      <c r="L130" s="10">
        <v>5</v>
      </c>
      <c r="M130" s="10">
        <v>0</v>
      </c>
      <c r="N130" s="10">
        <v>0</v>
      </c>
      <c r="O130" s="10">
        <v>0</v>
      </c>
      <c r="P130" s="10">
        <v>0</v>
      </c>
      <c r="Q130" s="10">
        <v>0</v>
      </c>
    </row>
    <row r="131" spans="1:17" s="10" customFormat="1" x14ac:dyDescent="0.35">
      <c r="A131">
        <v>2022</v>
      </c>
      <c r="B131" s="10" t="s">
        <v>7</v>
      </c>
      <c r="C131" t="s">
        <v>12</v>
      </c>
      <c r="D131" s="10">
        <v>0</v>
      </c>
      <c r="E131" s="10">
        <v>0</v>
      </c>
      <c r="F131" s="12">
        <f t="shared" si="6"/>
        <v>59</v>
      </c>
      <c r="G131" s="10">
        <v>0</v>
      </c>
      <c r="H131" s="16">
        <f>8190000+12681000+5211000</f>
        <v>26082000</v>
      </c>
      <c r="I131" s="14">
        <f>910+1349+579</f>
        <v>2838</v>
      </c>
      <c r="J131" s="10">
        <v>0</v>
      </c>
      <c r="K131" s="10">
        <v>21</v>
      </c>
      <c r="L131" s="10">
        <v>3</v>
      </c>
      <c r="M131" s="10">
        <v>0</v>
      </c>
      <c r="N131" s="10">
        <v>0</v>
      </c>
      <c r="O131" s="10">
        <v>0</v>
      </c>
      <c r="P131" s="10">
        <v>0</v>
      </c>
      <c r="Q131" s="10">
        <v>0</v>
      </c>
    </row>
    <row r="132" spans="1:17" s="10" customFormat="1" x14ac:dyDescent="0.35">
      <c r="A132">
        <v>2022</v>
      </c>
      <c r="B132" t="s">
        <v>27</v>
      </c>
      <c r="C132" t="s">
        <v>8</v>
      </c>
      <c r="D132" s="10">
        <v>0</v>
      </c>
      <c r="E132" s="10">
        <v>0</v>
      </c>
      <c r="F132" s="12">
        <v>112</v>
      </c>
      <c r="G132" s="10">
        <v>0</v>
      </c>
      <c r="H132" s="16">
        <v>138694000</v>
      </c>
      <c r="I132" s="14">
        <v>14853</v>
      </c>
      <c r="J132" s="10">
        <v>0</v>
      </c>
      <c r="K132" s="10">
        <v>95</v>
      </c>
      <c r="L132" s="10">
        <v>16</v>
      </c>
      <c r="M132" s="10">
        <v>0</v>
      </c>
      <c r="N132" s="10">
        <v>0</v>
      </c>
      <c r="O132" s="10">
        <v>1</v>
      </c>
      <c r="P132" s="10">
        <v>0</v>
      </c>
      <c r="Q132" s="10">
        <v>0</v>
      </c>
    </row>
    <row r="133" spans="1:17" s="10" customFormat="1" x14ac:dyDescent="0.35">
      <c r="A133">
        <v>2022</v>
      </c>
      <c r="B133" t="s">
        <v>27</v>
      </c>
      <c r="C133" t="s">
        <v>9</v>
      </c>
      <c r="D133" s="10">
        <v>0</v>
      </c>
      <c r="E133" s="10">
        <v>0</v>
      </c>
      <c r="F133" s="12">
        <v>22</v>
      </c>
      <c r="G133" s="10">
        <v>0</v>
      </c>
      <c r="H133" s="16">
        <v>16120000</v>
      </c>
      <c r="I133" s="14">
        <v>1791</v>
      </c>
      <c r="J133" s="10">
        <v>0</v>
      </c>
      <c r="K133" s="10">
        <v>20</v>
      </c>
      <c r="L133" s="10">
        <v>0</v>
      </c>
      <c r="M133" s="10">
        <v>2</v>
      </c>
      <c r="N133" s="10">
        <v>0</v>
      </c>
      <c r="O133" s="10">
        <v>0</v>
      </c>
      <c r="P133" s="10">
        <v>0</v>
      </c>
      <c r="Q133" s="10">
        <v>2</v>
      </c>
    </row>
    <row r="134" spans="1:17" s="10" customFormat="1" x14ac:dyDescent="0.35">
      <c r="A134">
        <v>2022</v>
      </c>
      <c r="B134" t="s">
        <v>27</v>
      </c>
      <c r="C134" t="s">
        <v>10</v>
      </c>
      <c r="D134" s="10">
        <v>0</v>
      </c>
      <c r="E134" s="10">
        <v>0</v>
      </c>
      <c r="F134" s="12">
        <v>244</v>
      </c>
      <c r="G134" s="10">
        <v>0</v>
      </c>
      <c r="H134" s="16">
        <v>690576000</v>
      </c>
      <c r="I134" s="14">
        <v>91802</v>
      </c>
      <c r="J134" s="10">
        <v>0</v>
      </c>
      <c r="K134" s="10">
        <v>115</v>
      </c>
      <c r="L134" s="10">
        <v>4</v>
      </c>
      <c r="M134" s="10">
        <v>121</v>
      </c>
      <c r="N134" s="10">
        <v>0</v>
      </c>
      <c r="O134" s="10">
        <v>4</v>
      </c>
      <c r="P134" s="10">
        <v>0</v>
      </c>
      <c r="Q134" s="10">
        <v>33</v>
      </c>
    </row>
    <row r="135" spans="1:17" s="10" customFormat="1" x14ac:dyDescent="0.35">
      <c r="A135">
        <v>2022</v>
      </c>
      <c r="B135" t="s">
        <v>27</v>
      </c>
      <c r="C135" t="s">
        <v>11</v>
      </c>
      <c r="D135" s="10">
        <v>0</v>
      </c>
      <c r="E135" s="10">
        <v>0</v>
      </c>
      <c r="F135" s="12">
        <v>171</v>
      </c>
      <c r="G135" s="10">
        <v>0</v>
      </c>
      <c r="H135" s="16">
        <v>118063000</v>
      </c>
      <c r="I135" s="14">
        <v>13036</v>
      </c>
      <c r="J135" s="10">
        <v>0</v>
      </c>
      <c r="K135" s="10">
        <v>112</v>
      </c>
      <c r="L135" s="10">
        <v>9</v>
      </c>
      <c r="M135" s="10">
        <v>50</v>
      </c>
      <c r="N135" s="10">
        <v>0</v>
      </c>
      <c r="O135" s="10">
        <v>0</v>
      </c>
      <c r="P135" s="10">
        <v>0</v>
      </c>
      <c r="Q135" s="10">
        <v>38</v>
      </c>
    </row>
    <row r="136" spans="1:17" s="10" customFormat="1" x14ac:dyDescent="0.35">
      <c r="A136">
        <v>2022</v>
      </c>
      <c r="B136" t="s">
        <v>27</v>
      </c>
      <c r="C136" t="s">
        <v>12</v>
      </c>
      <c r="D136" s="10">
        <v>0</v>
      </c>
      <c r="E136" s="10">
        <v>0</v>
      </c>
      <c r="F136" s="12">
        <v>61</v>
      </c>
      <c r="G136" s="10">
        <v>0</v>
      </c>
      <c r="H136" s="16">
        <v>79417000</v>
      </c>
      <c r="I136" s="14">
        <v>8731</v>
      </c>
      <c r="J136" s="10">
        <v>0</v>
      </c>
      <c r="K136" s="10">
        <v>34</v>
      </c>
      <c r="L136" s="10">
        <v>10</v>
      </c>
      <c r="M136" s="10">
        <v>16</v>
      </c>
      <c r="N136" s="10">
        <v>0</v>
      </c>
      <c r="O136" s="10">
        <v>0</v>
      </c>
      <c r="P136" s="10">
        <v>1</v>
      </c>
      <c r="Q136" s="10">
        <v>16</v>
      </c>
    </row>
    <row r="137" spans="1:17" s="10" customFormat="1" x14ac:dyDescent="0.35">
      <c r="A137">
        <v>2022</v>
      </c>
      <c r="B137" t="s">
        <v>26</v>
      </c>
      <c r="C137" t="s">
        <v>8</v>
      </c>
      <c r="D137" s="10">
        <v>0</v>
      </c>
      <c r="E137" s="10">
        <v>0</v>
      </c>
      <c r="F137" s="12">
        <f t="shared" ref="F137:F144" si="7">SUM(J132:Q132)</f>
        <v>112</v>
      </c>
      <c r="G137" s="10">
        <v>0</v>
      </c>
      <c r="H137" s="16">
        <f>51498000+3463000+4494000+79239000</f>
        <v>138694000</v>
      </c>
      <c r="I137" s="14">
        <f>5722+787+848+7496</f>
        <v>14853</v>
      </c>
      <c r="J137" s="10">
        <v>0</v>
      </c>
      <c r="K137" s="10">
        <v>95</v>
      </c>
      <c r="L137" s="10">
        <v>0</v>
      </c>
      <c r="M137" s="10">
        <v>0</v>
      </c>
      <c r="N137" s="10">
        <v>0</v>
      </c>
      <c r="O137" s="10">
        <v>1</v>
      </c>
      <c r="P137" s="10">
        <v>0</v>
      </c>
      <c r="Q137" s="10">
        <v>4</v>
      </c>
    </row>
    <row r="138" spans="1:17" s="10" customFormat="1" x14ac:dyDescent="0.35">
      <c r="A138">
        <v>2022</v>
      </c>
      <c r="B138" t="s">
        <v>26</v>
      </c>
      <c r="C138" t="s">
        <v>9</v>
      </c>
      <c r="D138" s="10">
        <v>0</v>
      </c>
      <c r="E138" s="10">
        <v>0</v>
      </c>
      <c r="F138" s="12">
        <f t="shared" si="7"/>
        <v>24</v>
      </c>
      <c r="G138" s="10">
        <v>0</v>
      </c>
      <c r="H138" s="16">
        <f>19000+16101000</f>
        <v>16120000</v>
      </c>
      <c r="I138" s="14">
        <f>2+1789</f>
        <v>1791</v>
      </c>
      <c r="J138" s="10">
        <v>0</v>
      </c>
      <c r="K138" s="10">
        <v>20</v>
      </c>
      <c r="L138" s="10">
        <v>0</v>
      </c>
      <c r="M138" s="10">
        <v>0</v>
      </c>
      <c r="N138" s="10">
        <v>0</v>
      </c>
      <c r="O138" s="10">
        <v>0</v>
      </c>
      <c r="P138" s="10">
        <v>0</v>
      </c>
      <c r="Q138" s="10">
        <v>1</v>
      </c>
    </row>
    <row r="139" spans="1:17" s="10" customFormat="1" x14ac:dyDescent="0.35">
      <c r="A139">
        <v>2022</v>
      </c>
      <c r="B139" t="s">
        <v>26</v>
      </c>
      <c r="C139" t="s">
        <v>10</v>
      </c>
      <c r="D139" s="10">
        <v>0</v>
      </c>
      <c r="E139" s="10">
        <v>0</v>
      </c>
      <c r="F139" s="12">
        <f t="shared" si="7"/>
        <v>277</v>
      </c>
      <c r="G139" s="10">
        <v>0</v>
      </c>
      <c r="H139" s="16">
        <f>16974000+704000+42441000+270429000+215143000+144885000</f>
        <v>690576000</v>
      </c>
      <c r="I139" s="14">
        <f>1886+160+4515+28769+40593+15879</f>
        <v>91802</v>
      </c>
      <c r="J139" s="10">
        <v>0</v>
      </c>
      <c r="K139" s="10">
        <v>115</v>
      </c>
      <c r="L139" s="10">
        <v>0</v>
      </c>
      <c r="M139" s="10">
        <v>0</v>
      </c>
      <c r="N139" s="10">
        <v>0</v>
      </c>
      <c r="O139" s="10">
        <v>4</v>
      </c>
      <c r="P139" s="10">
        <v>88</v>
      </c>
      <c r="Q139" s="10">
        <v>7</v>
      </c>
    </row>
    <row r="140" spans="1:17" s="10" customFormat="1" x14ac:dyDescent="0.35">
      <c r="A140">
        <v>2022</v>
      </c>
      <c r="B140" t="s">
        <v>26</v>
      </c>
      <c r="C140" t="s">
        <v>11</v>
      </c>
      <c r="D140" s="10">
        <v>0</v>
      </c>
      <c r="E140" s="10">
        <v>0</v>
      </c>
      <c r="F140" s="12">
        <f t="shared" si="7"/>
        <v>209</v>
      </c>
      <c r="G140" s="10">
        <v>0</v>
      </c>
      <c r="H140" s="16">
        <f>15561000+207000+7548000+94747000</f>
        <v>118063000</v>
      </c>
      <c r="I140" s="14">
        <f>1729+22+803+10482</f>
        <v>13036</v>
      </c>
      <c r="J140" s="10">
        <v>0</v>
      </c>
      <c r="K140" s="10">
        <v>112</v>
      </c>
      <c r="L140" s="10">
        <v>9</v>
      </c>
      <c r="M140" s="10">
        <v>0</v>
      </c>
      <c r="N140" s="10">
        <v>0</v>
      </c>
      <c r="O140" s="10">
        <v>0</v>
      </c>
      <c r="P140" s="10">
        <v>12</v>
      </c>
      <c r="Q140" s="10">
        <v>2</v>
      </c>
    </row>
    <row r="141" spans="1:17" s="10" customFormat="1" x14ac:dyDescent="0.35">
      <c r="A141">
        <v>2022</v>
      </c>
      <c r="B141" t="s">
        <v>26</v>
      </c>
      <c r="C141" t="s">
        <v>12</v>
      </c>
      <c r="D141" s="10">
        <v>0</v>
      </c>
      <c r="E141" s="10">
        <v>0</v>
      </c>
      <c r="F141" s="12">
        <f t="shared" si="7"/>
        <v>77</v>
      </c>
      <c r="G141" s="10">
        <v>0</v>
      </c>
      <c r="H141" s="16">
        <f>36063000+23096000+19193000</f>
        <v>78352000</v>
      </c>
      <c r="I141" s="14">
        <f>4007+2457+2146</f>
        <v>8610</v>
      </c>
      <c r="J141" s="10">
        <v>0</v>
      </c>
      <c r="K141" s="10">
        <v>34</v>
      </c>
      <c r="L141" s="10">
        <v>10</v>
      </c>
      <c r="Q141" s="10">
        <v>1</v>
      </c>
    </row>
    <row r="142" spans="1:17" s="10" customFormat="1" ht="15.75" customHeight="1" x14ac:dyDescent="0.35">
      <c r="A142">
        <v>2022</v>
      </c>
      <c r="B142" t="s">
        <v>13</v>
      </c>
      <c r="C142" t="s">
        <v>8</v>
      </c>
      <c r="D142" s="10">
        <v>0</v>
      </c>
      <c r="E142" s="10">
        <v>0</v>
      </c>
      <c r="F142" s="12">
        <f t="shared" si="7"/>
        <v>100</v>
      </c>
      <c r="G142" s="10">
        <v>0</v>
      </c>
      <c r="H142" s="16">
        <f>12843000+6928000+44685000+6575000+68919000</f>
        <v>139950000</v>
      </c>
      <c r="I142" s="14">
        <f>1427+737+8426+707+6841</f>
        <v>18138</v>
      </c>
      <c r="J142" s="10">
        <v>0</v>
      </c>
      <c r="K142" s="10">
        <v>87</v>
      </c>
      <c r="L142" s="10">
        <v>6</v>
      </c>
      <c r="M142" s="10">
        <v>0</v>
      </c>
      <c r="N142" s="10">
        <v>0</v>
      </c>
      <c r="O142" s="10">
        <v>1</v>
      </c>
      <c r="P142" s="10">
        <v>1</v>
      </c>
      <c r="Q142" s="10">
        <v>0</v>
      </c>
    </row>
    <row r="143" spans="1:17" s="10" customFormat="1" ht="15.75" customHeight="1" x14ac:dyDescent="0.35">
      <c r="A143">
        <v>2022</v>
      </c>
      <c r="B143" t="s">
        <v>13</v>
      </c>
      <c r="C143" t="s">
        <v>9</v>
      </c>
      <c r="D143" s="10">
        <v>0</v>
      </c>
      <c r="E143" s="10">
        <v>0</v>
      </c>
      <c r="F143" s="12">
        <f t="shared" si="7"/>
        <v>21</v>
      </c>
      <c r="G143" s="10">
        <v>0</v>
      </c>
      <c r="H143" s="16">
        <f>16344000+18518000+20659000</f>
        <v>55521000</v>
      </c>
      <c r="I143" s="14">
        <f>1816+3494+2163</f>
        <v>7473</v>
      </c>
      <c r="J143" s="10">
        <v>0</v>
      </c>
      <c r="K143" s="10">
        <v>14</v>
      </c>
      <c r="L143" s="10">
        <v>11</v>
      </c>
      <c r="M143" s="10">
        <v>0</v>
      </c>
      <c r="N143" s="10">
        <v>0</v>
      </c>
      <c r="O143" s="10">
        <v>2</v>
      </c>
      <c r="P143" s="10">
        <v>1</v>
      </c>
      <c r="Q143" s="10">
        <v>0</v>
      </c>
    </row>
    <row r="144" spans="1:17" s="10" customFormat="1" ht="15.75" customHeight="1" x14ac:dyDescent="0.35">
      <c r="A144">
        <v>2022</v>
      </c>
      <c r="B144" t="s">
        <v>13</v>
      </c>
      <c r="C144" t="s">
        <v>10</v>
      </c>
      <c r="D144" s="10">
        <v>0</v>
      </c>
      <c r="E144" s="10">
        <v>0</v>
      </c>
      <c r="F144" s="12">
        <f t="shared" si="7"/>
        <v>214</v>
      </c>
      <c r="G144" s="10">
        <v>0</v>
      </c>
      <c r="H144" s="16">
        <f>1179000+45055000+9278000+27016000+614259000+45055000+158050000</f>
        <v>899892000</v>
      </c>
      <c r="I144" s="14">
        <f>131+987+2874+6825+8501+17279</f>
        <v>36597</v>
      </c>
      <c r="J144" s="10">
        <v>0</v>
      </c>
      <c r="K144" s="10">
        <v>97</v>
      </c>
      <c r="L144" s="10">
        <v>1</v>
      </c>
      <c r="M144" s="10">
        <v>0</v>
      </c>
      <c r="N144" s="10">
        <v>0</v>
      </c>
      <c r="O144" s="10">
        <v>1</v>
      </c>
      <c r="P144" s="10" t="s">
        <v>35</v>
      </c>
      <c r="Q144" s="10">
        <v>5</v>
      </c>
    </row>
    <row r="145" spans="1:17" s="10" customFormat="1" ht="15.75" customHeight="1" x14ac:dyDescent="0.35">
      <c r="A145">
        <v>2022</v>
      </c>
      <c r="B145" t="s">
        <v>13</v>
      </c>
      <c r="C145" t="s">
        <v>11</v>
      </c>
      <c r="D145" s="10">
        <v>0</v>
      </c>
      <c r="E145" s="10">
        <v>0</v>
      </c>
      <c r="F145" s="12">
        <f>SUM(J135:R135)</f>
        <v>209</v>
      </c>
      <c r="G145" s="10">
        <v>0</v>
      </c>
      <c r="H145" s="16">
        <f>2853000+338000+15910000</f>
        <v>19101000</v>
      </c>
      <c r="I145" s="14">
        <f>317+36+1731</f>
        <v>2084</v>
      </c>
      <c r="J145" s="10">
        <v>0</v>
      </c>
      <c r="K145" s="10">
        <v>43</v>
      </c>
      <c r="L145" s="10">
        <v>4</v>
      </c>
      <c r="M145" s="10">
        <v>0</v>
      </c>
      <c r="N145" s="10">
        <v>0</v>
      </c>
      <c r="O145" s="10">
        <v>0</v>
      </c>
      <c r="P145" s="10">
        <v>0</v>
      </c>
      <c r="Q145" s="10">
        <v>16</v>
      </c>
    </row>
    <row r="146" spans="1:17" s="10" customFormat="1" ht="15.75" customHeight="1" x14ac:dyDescent="0.35">
      <c r="A146">
        <v>2022</v>
      </c>
      <c r="B146" t="s">
        <v>13</v>
      </c>
      <c r="C146" t="s">
        <v>12</v>
      </c>
      <c r="D146" s="10">
        <v>0</v>
      </c>
      <c r="E146" s="10">
        <v>0</v>
      </c>
      <c r="F146" s="12">
        <f>SUM(J141:Q141)</f>
        <v>45</v>
      </c>
      <c r="G146" s="10">
        <v>0</v>
      </c>
      <c r="H146" s="16">
        <v>3008000</v>
      </c>
      <c r="I146" s="14">
        <f>1358+320</f>
        <v>1678</v>
      </c>
      <c r="J146" s="10">
        <v>0</v>
      </c>
      <c r="K146" s="10">
        <v>30</v>
      </c>
      <c r="L146" s="10">
        <v>5</v>
      </c>
      <c r="M146" s="10">
        <v>0</v>
      </c>
      <c r="N146" s="10">
        <v>0</v>
      </c>
      <c r="O146" s="10">
        <v>0</v>
      </c>
      <c r="P146" s="10">
        <v>0</v>
      </c>
      <c r="Q146" s="10">
        <v>2</v>
      </c>
    </row>
    <row r="147" spans="1:17" s="10" customFormat="1" ht="15.75" customHeight="1" x14ac:dyDescent="0.35">
      <c r="A147">
        <v>2022</v>
      </c>
      <c r="B147" t="s">
        <v>14</v>
      </c>
      <c r="C147" t="s">
        <v>8</v>
      </c>
      <c r="D147" s="10">
        <v>0</v>
      </c>
      <c r="E147" s="10">
        <v>0</v>
      </c>
      <c r="F147" s="12">
        <f>SUM(J142:Q142)</f>
        <v>95</v>
      </c>
      <c r="G147" s="10">
        <v>0</v>
      </c>
      <c r="H147" s="16">
        <f>35199000+185000+280147000+56351000</f>
        <v>371882000</v>
      </c>
      <c r="I147" s="14">
        <f>3911+42+52858+5021</f>
        <v>61832</v>
      </c>
      <c r="J147" s="10">
        <v>0</v>
      </c>
      <c r="K147" s="10">
        <v>108</v>
      </c>
      <c r="L147" s="10">
        <v>9</v>
      </c>
      <c r="M147" s="10">
        <v>0</v>
      </c>
      <c r="N147" s="10">
        <v>0</v>
      </c>
      <c r="O147" s="10">
        <v>2</v>
      </c>
      <c r="P147" s="10">
        <v>0</v>
      </c>
    </row>
    <row r="148" spans="1:17" s="10" customFormat="1" ht="15.75" customHeight="1" x14ac:dyDescent="0.35">
      <c r="A148">
        <v>2022</v>
      </c>
      <c r="B148" t="s">
        <v>14</v>
      </c>
      <c r="C148" t="s">
        <v>9</v>
      </c>
      <c r="D148" s="10">
        <v>0</v>
      </c>
      <c r="E148" s="10">
        <v>0</v>
      </c>
      <c r="F148" s="12">
        <f>SUM(J143:Q143)</f>
        <v>28</v>
      </c>
      <c r="G148" s="10">
        <v>0</v>
      </c>
      <c r="H148" s="16">
        <f>2565000+21974000+4677000</f>
        <v>29216000</v>
      </c>
      <c r="I148" s="14">
        <f>285+4146+521</f>
        <v>4952</v>
      </c>
      <c r="J148" s="10">
        <v>0</v>
      </c>
      <c r="K148" s="10">
        <v>8</v>
      </c>
      <c r="L148" s="10">
        <v>7</v>
      </c>
      <c r="M148" s="10">
        <v>0</v>
      </c>
      <c r="N148" s="10">
        <v>1</v>
      </c>
      <c r="O148" s="10">
        <v>4</v>
      </c>
      <c r="P148" s="10">
        <v>0</v>
      </c>
      <c r="Q148" s="10">
        <v>0</v>
      </c>
    </row>
    <row r="149" spans="1:17" s="10" customFormat="1" ht="15.75" customHeight="1" x14ac:dyDescent="0.35">
      <c r="A149">
        <v>2022</v>
      </c>
      <c r="B149" t="s">
        <v>14</v>
      </c>
      <c r="C149" t="s">
        <v>10</v>
      </c>
      <c r="D149" s="10">
        <v>0</v>
      </c>
      <c r="E149" s="10">
        <v>0</v>
      </c>
      <c r="F149" s="12">
        <f>SUM(J144:Q144)</f>
        <v>104</v>
      </c>
      <c r="G149" s="10">
        <v>0</v>
      </c>
      <c r="H149" s="16">
        <f>6948000+3370000+14843000+11891000+5041000+156936000</f>
        <v>199029000</v>
      </c>
      <c r="I149" s="14">
        <f>772+766+1579+1265+542+17221</f>
        <v>22145</v>
      </c>
      <c r="J149" s="10">
        <v>0</v>
      </c>
      <c r="K149" s="10">
        <v>107</v>
      </c>
      <c r="L149" s="10">
        <v>12</v>
      </c>
      <c r="N149" s="10">
        <v>1</v>
      </c>
      <c r="P149" s="10">
        <v>15</v>
      </c>
      <c r="Q149" s="10">
        <v>46</v>
      </c>
    </row>
    <row r="150" spans="1:17" s="10" customFormat="1" ht="15.75" customHeight="1" x14ac:dyDescent="0.35">
      <c r="A150">
        <v>2022</v>
      </c>
      <c r="B150" t="s">
        <v>14</v>
      </c>
      <c r="C150" t="s">
        <v>11</v>
      </c>
      <c r="D150" s="10">
        <v>0</v>
      </c>
      <c r="E150" s="10">
        <v>0</v>
      </c>
      <c r="F150" s="12">
        <f>SUM(J145:Q145)</f>
        <v>63</v>
      </c>
      <c r="G150" s="10">
        <v>0</v>
      </c>
      <c r="H150" s="16">
        <f>11475000+5226000+64246000</f>
        <v>80947000</v>
      </c>
      <c r="I150" s="14">
        <f>1275+556+6997</f>
        <v>8828</v>
      </c>
      <c r="K150" s="10">
        <v>109</v>
      </c>
      <c r="L150" s="10">
        <v>7</v>
      </c>
    </row>
    <row r="151" spans="1:17" s="10" customFormat="1" ht="15.75" customHeight="1" x14ac:dyDescent="0.35">
      <c r="A151">
        <v>2022</v>
      </c>
      <c r="B151" t="s">
        <v>14</v>
      </c>
      <c r="C151" t="s">
        <v>12</v>
      </c>
      <c r="D151" s="10">
        <v>0</v>
      </c>
      <c r="E151" s="10">
        <v>0</v>
      </c>
      <c r="F151" s="12"/>
      <c r="G151" s="10">
        <v>0</v>
      </c>
      <c r="H151" s="16">
        <f>36261000+6824000+10336000</f>
        <v>53421000</v>
      </c>
      <c r="I151" s="14">
        <f>4029+726+1016</f>
        <v>5771</v>
      </c>
      <c r="J151" s="10">
        <v>0</v>
      </c>
      <c r="K151" s="10">
        <v>30</v>
      </c>
      <c r="L151" s="10">
        <v>11</v>
      </c>
    </row>
    <row r="152" spans="1:17" s="10" customFormat="1" x14ac:dyDescent="0.35">
      <c r="A152">
        <v>2022</v>
      </c>
      <c r="B152" t="s">
        <v>15</v>
      </c>
      <c r="C152" t="s">
        <v>8</v>
      </c>
      <c r="D152" s="10">
        <v>0</v>
      </c>
      <c r="E152" s="10">
        <v>0</v>
      </c>
      <c r="F152" s="12">
        <f t="shared" ref="F152:F161" si="8">SUM(J147:Q147)</f>
        <v>119</v>
      </c>
      <c r="G152" s="10">
        <v>0</v>
      </c>
      <c r="H152" s="16">
        <f>28647000+1918000+9560000+60383000+39045200</f>
        <v>139553200</v>
      </c>
      <c r="I152" s="14">
        <f>3183+436+1028+11393+43125</f>
        <v>59165</v>
      </c>
      <c r="J152" s="10">
        <v>0</v>
      </c>
      <c r="K152" s="10">
        <v>112</v>
      </c>
      <c r="L152" s="10">
        <f>6+4</f>
        <v>10</v>
      </c>
      <c r="N152" s="10">
        <v>1</v>
      </c>
      <c r="O152" s="10">
        <v>4</v>
      </c>
      <c r="Q152" s="10">
        <v>114</v>
      </c>
    </row>
    <row r="153" spans="1:17" s="10" customFormat="1" x14ac:dyDescent="0.35">
      <c r="A153">
        <v>2022</v>
      </c>
      <c r="B153" t="s">
        <v>15</v>
      </c>
      <c r="C153" t="s">
        <v>9</v>
      </c>
      <c r="D153" s="10">
        <v>0</v>
      </c>
      <c r="E153" s="10">
        <v>0</v>
      </c>
      <c r="F153" s="12">
        <f t="shared" si="8"/>
        <v>20</v>
      </c>
      <c r="G153" s="10">
        <v>0</v>
      </c>
      <c r="H153" s="16">
        <f>16740000+39555000</f>
        <v>56295000</v>
      </c>
      <c r="I153" s="14">
        <f>1860+4281</f>
        <v>6141</v>
      </c>
      <c r="K153" s="10">
        <v>60</v>
      </c>
      <c r="L153" s="10">
        <v>11</v>
      </c>
      <c r="M153" s="10">
        <v>0</v>
      </c>
      <c r="N153" s="10">
        <v>0</v>
      </c>
      <c r="O153" s="10">
        <v>0</v>
      </c>
      <c r="P153" s="10">
        <v>0</v>
      </c>
      <c r="Q153" s="10">
        <v>0</v>
      </c>
    </row>
    <row r="154" spans="1:17" s="10" customFormat="1" x14ac:dyDescent="0.35">
      <c r="A154">
        <v>2022</v>
      </c>
      <c r="B154" t="s">
        <v>15</v>
      </c>
      <c r="C154" t="s">
        <v>10</v>
      </c>
      <c r="D154" s="10">
        <v>0</v>
      </c>
      <c r="E154" s="10">
        <v>0</v>
      </c>
      <c r="F154" s="12">
        <f t="shared" si="8"/>
        <v>181</v>
      </c>
      <c r="G154" s="10">
        <v>0</v>
      </c>
      <c r="H154" s="16">
        <f>16434000+440000+71052000+108645000+73040000</f>
        <v>269611000</v>
      </c>
      <c r="I154" s="14">
        <f>1826+100+8160+7640+20499+7754</f>
        <v>45979</v>
      </c>
      <c r="K154" s="10">
        <v>101</v>
      </c>
      <c r="L154" s="10">
        <f>3+1</f>
        <v>4</v>
      </c>
      <c r="N154" s="10">
        <v>2</v>
      </c>
      <c r="O154" s="10">
        <v>2</v>
      </c>
      <c r="Q154" s="10">
        <v>3</v>
      </c>
    </row>
    <row r="155" spans="1:17" s="10" customFormat="1" x14ac:dyDescent="0.35">
      <c r="A155">
        <v>2022</v>
      </c>
      <c r="B155" t="s">
        <v>15</v>
      </c>
      <c r="C155" t="s">
        <v>11</v>
      </c>
      <c r="F155" s="12">
        <f t="shared" si="8"/>
        <v>116</v>
      </c>
      <c r="G155" s="10">
        <v>0</v>
      </c>
      <c r="H155" s="16">
        <f>16740000+39555000</f>
        <v>56295000</v>
      </c>
      <c r="I155" s="14">
        <f>1860+4281</f>
        <v>6141</v>
      </c>
      <c r="K155" s="10">
        <v>60</v>
      </c>
      <c r="L155" s="10">
        <v>11</v>
      </c>
      <c r="Q155" s="10">
        <v>0</v>
      </c>
    </row>
    <row r="156" spans="1:17" s="10" customFormat="1" x14ac:dyDescent="0.35">
      <c r="A156">
        <v>2022</v>
      </c>
      <c r="B156" t="s">
        <v>15</v>
      </c>
      <c r="C156" t="s">
        <v>12</v>
      </c>
      <c r="F156" s="12">
        <f t="shared" si="8"/>
        <v>41</v>
      </c>
      <c r="H156" s="16">
        <f>17271000+14785000</f>
        <v>32056000</v>
      </c>
      <c r="I156" s="14">
        <f>1919+1436</f>
        <v>3355</v>
      </c>
      <c r="K156" s="10">
        <v>33</v>
      </c>
      <c r="L156" s="10">
        <v>6</v>
      </c>
      <c r="Q156" s="10">
        <v>14</v>
      </c>
    </row>
    <row r="157" spans="1:17" s="10" customFormat="1" x14ac:dyDescent="0.35">
      <c r="A157">
        <v>2022</v>
      </c>
      <c r="B157" t="s">
        <v>16</v>
      </c>
      <c r="C157" t="s">
        <v>8</v>
      </c>
      <c r="D157" s="10">
        <v>0</v>
      </c>
      <c r="E157" s="10">
        <v>0</v>
      </c>
      <c r="F157" s="12">
        <f t="shared" si="8"/>
        <v>241</v>
      </c>
      <c r="G157" s="10">
        <v>0</v>
      </c>
      <c r="H157" s="16">
        <f>29169000+125340000+55693000</f>
        <v>210202000</v>
      </c>
      <c r="I157" s="14">
        <f>3241+13334+5693</f>
        <v>22268</v>
      </c>
      <c r="J157" s="10">
        <v>0</v>
      </c>
      <c r="K157" s="10">
        <v>70</v>
      </c>
      <c r="L157" s="10">
        <v>11</v>
      </c>
      <c r="M157" s="10">
        <v>0</v>
      </c>
      <c r="N157" s="10">
        <v>0</v>
      </c>
      <c r="O157" s="10">
        <v>0</v>
      </c>
      <c r="P157" s="10">
        <v>0</v>
      </c>
      <c r="Q157" s="10">
        <v>9</v>
      </c>
    </row>
    <row r="158" spans="1:17" s="10" customFormat="1" x14ac:dyDescent="0.35">
      <c r="A158">
        <v>2022</v>
      </c>
      <c r="B158" t="s">
        <v>16</v>
      </c>
      <c r="C158" t="s">
        <v>9</v>
      </c>
      <c r="D158" s="10">
        <v>0</v>
      </c>
      <c r="E158" s="10">
        <v>0</v>
      </c>
      <c r="F158" s="12">
        <f t="shared" si="8"/>
        <v>71</v>
      </c>
      <c r="G158" s="10">
        <v>0</v>
      </c>
      <c r="H158" s="16">
        <f>12303000+429000+15531000</f>
        <v>28263000</v>
      </c>
      <c r="I158" s="14">
        <f>1367+81+1599</f>
        <v>3047</v>
      </c>
      <c r="J158" s="10">
        <v>0</v>
      </c>
      <c r="K158" s="10">
        <v>19</v>
      </c>
      <c r="L158" s="10">
        <v>8</v>
      </c>
      <c r="M158" s="10">
        <v>0</v>
      </c>
      <c r="N158" s="10">
        <v>2</v>
      </c>
      <c r="O158" s="10">
        <v>4</v>
      </c>
      <c r="P158" s="10">
        <v>0</v>
      </c>
      <c r="Q158" s="10">
        <v>8</v>
      </c>
    </row>
    <row r="159" spans="1:17" s="10" customFormat="1" x14ac:dyDescent="0.35">
      <c r="A159">
        <v>2022</v>
      </c>
      <c r="B159" t="s">
        <v>16</v>
      </c>
      <c r="C159" t="s">
        <v>10</v>
      </c>
      <c r="D159" s="10">
        <v>0</v>
      </c>
      <c r="E159" s="10">
        <v>0</v>
      </c>
      <c r="F159" s="12">
        <f t="shared" si="8"/>
        <v>112</v>
      </c>
      <c r="G159" s="10">
        <v>0</v>
      </c>
      <c r="H159" s="16">
        <f>8958000+5696000+72480000</f>
        <v>87134000</v>
      </c>
      <c r="I159" s="14">
        <f>953+606+7754</f>
        <v>9313</v>
      </c>
      <c r="J159" s="10">
        <v>0</v>
      </c>
      <c r="K159" s="10">
        <v>53</v>
      </c>
      <c r="L159" s="10">
        <v>0</v>
      </c>
      <c r="M159" s="10">
        <v>0</v>
      </c>
      <c r="N159" s="10">
        <v>0</v>
      </c>
      <c r="O159" s="10">
        <v>0</v>
      </c>
      <c r="P159" s="10">
        <v>1</v>
      </c>
      <c r="Q159" s="10">
        <v>0</v>
      </c>
    </row>
    <row r="160" spans="1:17" s="10" customFormat="1" x14ac:dyDescent="0.35">
      <c r="A160">
        <v>2022</v>
      </c>
      <c r="B160" t="s">
        <v>16</v>
      </c>
      <c r="C160" t="s">
        <v>11</v>
      </c>
      <c r="D160" s="10">
        <v>0</v>
      </c>
      <c r="E160" s="10">
        <v>0</v>
      </c>
      <c r="F160" s="12">
        <f t="shared" si="8"/>
        <v>71</v>
      </c>
      <c r="G160" s="10">
        <v>0</v>
      </c>
      <c r="H160" s="16">
        <f>33291000+9889000+26840000+3392000+51797000</f>
        <v>125209000</v>
      </c>
      <c r="I160" s="14">
        <f>3699+1052+2886+640+5750</f>
        <v>14027</v>
      </c>
      <c r="J160" s="10">
        <v>0</v>
      </c>
      <c r="K160" s="10">
        <v>67</v>
      </c>
      <c r="L160" s="10">
        <v>9</v>
      </c>
      <c r="M160" s="10">
        <v>0</v>
      </c>
      <c r="N160" s="10">
        <v>1</v>
      </c>
      <c r="O160" s="10">
        <v>1</v>
      </c>
      <c r="P160" s="10">
        <v>19</v>
      </c>
      <c r="Q160" s="10">
        <v>0</v>
      </c>
    </row>
    <row r="161" spans="1:19" s="10" customFormat="1" x14ac:dyDescent="0.35">
      <c r="A161">
        <v>2022</v>
      </c>
      <c r="B161" t="s">
        <v>16</v>
      </c>
      <c r="C161" t="s">
        <v>12</v>
      </c>
      <c r="D161" s="10">
        <v>0</v>
      </c>
      <c r="E161" s="10">
        <v>0</v>
      </c>
      <c r="F161" s="12">
        <f t="shared" si="8"/>
        <v>53</v>
      </c>
      <c r="G161" s="10">
        <v>0</v>
      </c>
      <c r="H161" s="16">
        <f>24624000+33708000+54786000+60298000</f>
        <v>173416000</v>
      </c>
      <c r="I161" s="14">
        <f>2736+3586+5891+6737</f>
        <v>18950</v>
      </c>
      <c r="J161" s="10">
        <v>0</v>
      </c>
      <c r="K161" s="10">
        <v>65</v>
      </c>
      <c r="L161" s="10">
        <v>7</v>
      </c>
      <c r="M161" s="10">
        <v>0</v>
      </c>
      <c r="N161" s="10">
        <v>1</v>
      </c>
      <c r="O161" s="10">
        <v>0</v>
      </c>
      <c r="P161" s="10">
        <v>0</v>
      </c>
      <c r="Q161" s="10">
        <v>0</v>
      </c>
    </row>
    <row r="162" spans="1:19" s="10" customFormat="1" ht="15" customHeight="1" x14ac:dyDescent="0.35">
      <c r="A162">
        <v>2022</v>
      </c>
      <c r="B162" s="10" t="s">
        <v>17</v>
      </c>
      <c r="C162" t="s">
        <v>8</v>
      </c>
      <c r="D162" s="10">
        <v>58</v>
      </c>
      <c r="E162" s="10">
        <v>82</v>
      </c>
      <c r="F162" s="12">
        <v>140</v>
      </c>
      <c r="G162" s="10">
        <v>9</v>
      </c>
      <c r="H162" s="16">
        <v>139072000</v>
      </c>
      <c r="I162" s="14">
        <v>15650</v>
      </c>
      <c r="J162" s="10">
        <v>0</v>
      </c>
      <c r="K162" s="10">
        <v>0</v>
      </c>
      <c r="L162" s="10">
        <v>66</v>
      </c>
      <c r="M162" s="10">
        <v>7</v>
      </c>
      <c r="N162" s="10">
        <v>0</v>
      </c>
      <c r="O162" s="10">
        <v>1</v>
      </c>
      <c r="P162" s="10">
        <v>66</v>
      </c>
      <c r="Q162" s="10">
        <v>7</v>
      </c>
    </row>
    <row r="163" spans="1:19" s="10" customFormat="1" ht="15" customHeight="1" x14ac:dyDescent="0.35">
      <c r="A163">
        <v>2022</v>
      </c>
      <c r="B163" s="10" t="s">
        <v>17</v>
      </c>
      <c r="C163" t="s">
        <v>9</v>
      </c>
      <c r="D163" s="10">
        <v>8</v>
      </c>
      <c r="E163" s="10">
        <v>27</v>
      </c>
      <c r="F163" s="12">
        <v>35</v>
      </c>
      <c r="G163" s="10">
        <v>2</v>
      </c>
      <c r="H163" s="16">
        <v>171221400</v>
      </c>
      <c r="I163" s="14">
        <v>31535</v>
      </c>
      <c r="J163" s="10">
        <v>6</v>
      </c>
      <c r="K163" s="10">
        <v>0</v>
      </c>
      <c r="L163" s="10">
        <v>23</v>
      </c>
      <c r="M163" s="10">
        <v>1</v>
      </c>
      <c r="N163" s="10">
        <v>0</v>
      </c>
      <c r="O163" s="10">
        <v>2</v>
      </c>
      <c r="P163" s="10">
        <v>3</v>
      </c>
      <c r="Q163" s="10">
        <v>11</v>
      </c>
    </row>
    <row r="164" spans="1:19" s="10" customFormat="1" ht="15" customHeight="1" x14ac:dyDescent="0.35">
      <c r="A164">
        <v>2022</v>
      </c>
      <c r="B164" s="10" t="s">
        <v>17</v>
      </c>
      <c r="C164" t="s">
        <v>10</v>
      </c>
      <c r="D164" s="10">
        <v>43</v>
      </c>
      <c r="E164" s="10">
        <v>104</v>
      </c>
      <c r="F164" s="12">
        <v>147</v>
      </c>
      <c r="G164" s="10">
        <v>13</v>
      </c>
      <c r="H164" s="16">
        <v>493789200</v>
      </c>
      <c r="I164" s="14">
        <v>55393</v>
      </c>
      <c r="J164" s="10">
        <v>6</v>
      </c>
      <c r="K164" s="10">
        <v>0</v>
      </c>
      <c r="L164" s="10">
        <v>91</v>
      </c>
      <c r="M164" s="10">
        <v>10</v>
      </c>
      <c r="N164" s="10">
        <v>0</v>
      </c>
      <c r="O164" s="10">
        <v>1</v>
      </c>
      <c r="P164" s="10">
        <v>45</v>
      </c>
      <c r="Q164" s="10">
        <v>0</v>
      </c>
    </row>
    <row r="165" spans="1:19" s="10" customFormat="1" ht="15" customHeight="1" x14ac:dyDescent="0.35">
      <c r="A165">
        <v>2022</v>
      </c>
      <c r="B165" s="10" t="s">
        <v>17</v>
      </c>
      <c r="C165" t="s">
        <v>11</v>
      </c>
      <c r="D165" s="10">
        <v>5</v>
      </c>
      <c r="E165" s="10">
        <v>52</v>
      </c>
      <c r="F165" s="12">
        <v>57</v>
      </c>
      <c r="G165" s="10">
        <v>1</v>
      </c>
      <c r="H165" s="16">
        <v>53785000</v>
      </c>
      <c r="I165" s="14">
        <v>8758</v>
      </c>
      <c r="J165" s="10">
        <v>0</v>
      </c>
      <c r="K165" s="10">
        <v>0</v>
      </c>
      <c r="L165" s="10">
        <v>37</v>
      </c>
      <c r="M165" s="10">
        <v>1</v>
      </c>
      <c r="N165" s="10">
        <v>1</v>
      </c>
      <c r="O165" s="10">
        <v>1</v>
      </c>
      <c r="P165" s="10">
        <v>17</v>
      </c>
      <c r="Q165" s="10">
        <v>0</v>
      </c>
    </row>
    <row r="166" spans="1:19" s="10" customFormat="1" ht="15" customHeight="1" x14ac:dyDescent="0.35">
      <c r="A166">
        <v>2022</v>
      </c>
      <c r="B166" s="10" t="s">
        <v>17</v>
      </c>
      <c r="C166" t="s">
        <v>12</v>
      </c>
      <c r="D166" s="10">
        <v>35</v>
      </c>
      <c r="E166" s="10">
        <v>46</v>
      </c>
      <c r="F166" s="12">
        <v>81</v>
      </c>
      <c r="G166" s="10">
        <v>8</v>
      </c>
      <c r="H166" s="16">
        <v>96847020</v>
      </c>
      <c r="I166" s="14">
        <v>11093</v>
      </c>
      <c r="J166" s="10">
        <v>15</v>
      </c>
      <c r="K166" s="10">
        <v>0</v>
      </c>
      <c r="L166" s="10">
        <v>49</v>
      </c>
      <c r="M166" s="10">
        <v>10</v>
      </c>
      <c r="N166" s="10">
        <v>1</v>
      </c>
      <c r="O166" s="10">
        <v>0</v>
      </c>
      <c r="P166" s="10">
        <v>11</v>
      </c>
      <c r="Q166" s="10" t="s">
        <v>33</v>
      </c>
    </row>
    <row r="167" spans="1:19" s="10" customFormat="1" ht="15" customHeight="1" x14ac:dyDescent="0.35">
      <c r="A167">
        <v>2022</v>
      </c>
      <c r="B167" s="10" t="s">
        <v>18</v>
      </c>
      <c r="C167" t="s">
        <v>8</v>
      </c>
      <c r="D167" s="10">
        <v>23</v>
      </c>
      <c r="E167" s="10">
        <v>62</v>
      </c>
      <c r="F167" s="12">
        <v>85</v>
      </c>
      <c r="G167" s="10">
        <v>10</v>
      </c>
      <c r="H167" s="16">
        <v>509996000</v>
      </c>
      <c r="I167" s="14">
        <v>64539</v>
      </c>
      <c r="J167" s="10">
        <v>0</v>
      </c>
      <c r="K167" s="10">
        <v>0</v>
      </c>
      <c r="L167" s="10">
        <v>42</v>
      </c>
      <c r="M167" s="10">
        <v>7</v>
      </c>
      <c r="N167" s="10">
        <v>0</v>
      </c>
      <c r="O167" s="10">
        <v>2</v>
      </c>
      <c r="P167" s="10">
        <v>34</v>
      </c>
      <c r="Q167" s="10">
        <v>13</v>
      </c>
    </row>
    <row r="168" spans="1:19" s="10" customFormat="1" ht="15" customHeight="1" x14ac:dyDescent="0.35">
      <c r="A168">
        <v>2022</v>
      </c>
      <c r="B168" s="10" t="s">
        <v>18</v>
      </c>
      <c r="C168" t="s">
        <v>9</v>
      </c>
      <c r="D168" s="10">
        <v>0</v>
      </c>
      <c r="E168" s="10">
        <v>42</v>
      </c>
      <c r="F168" s="12">
        <v>42</v>
      </c>
      <c r="G168" s="10">
        <v>2</v>
      </c>
      <c r="H168" s="16">
        <v>45937600</v>
      </c>
      <c r="I168" s="14">
        <v>5463</v>
      </c>
      <c r="J168" s="10">
        <v>12</v>
      </c>
      <c r="K168" s="10">
        <v>0</v>
      </c>
      <c r="L168" s="10">
        <v>26</v>
      </c>
      <c r="M168" s="10">
        <v>3</v>
      </c>
      <c r="N168" s="10">
        <v>0</v>
      </c>
      <c r="O168" s="10">
        <v>1</v>
      </c>
      <c r="P168" s="10">
        <v>0</v>
      </c>
      <c r="Q168" s="10">
        <v>8</v>
      </c>
    </row>
    <row r="169" spans="1:19" s="10" customFormat="1" ht="15" customHeight="1" x14ac:dyDescent="0.35">
      <c r="A169">
        <v>2022</v>
      </c>
      <c r="B169" s="10" t="s">
        <v>18</v>
      </c>
      <c r="C169" t="s">
        <v>10</v>
      </c>
      <c r="D169" s="10">
        <v>37</v>
      </c>
      <c r="E169" s="10">
        <v>57</v>
      </c>
      <c r="F169" s="12">
        <v>94</v>
      </c>
      <c r="G169" s="10">
        <v>9</v>
      </c>
      <c r="H169" s="16">
        <v>299166200</v>
      </c>
      <c r="I169" s="14">
        <v>33150</v>
      </c>
      <c r="J169" s="10">
        <v>0</v>
      </c>
      <c r="K169" s="10">
        <v>0</v>
      </c>
      <c r="L169" s="10">
        <v>55</v>
      </c>
      <c r="M169" s="10">
        <v>8</v>
      </c>
      <c r="N169" s="10">
        <v>0</v>
      </c>
      <c r="O169" s="10">
        <v>0</v>
      </c>
      <c r="P169" s="10">
        <v>31</v>
      </c>
      <c r="Q169" s="10">
        <v>0</v>
      </c>
    </row>
    <row r="170" spans="1:19" s="10" customFormat="1" ht="15" customHeight="1" x14ac:dyDescent="0.35">
      <c r="A170">
        <v>2022</v>
      </c>
      <c r="B170" s="10" t="s">
        <v>18</v>
      </c>
      <c r="C170" t="s">
        <v>11</v>
      </c>
      <c r="D170" s="10">
        <v>6</v>
      </c>
      <c r="E170" s="10">
        <v>56</v>
      </c>
      <c r="F170" s="12">
        <v>62</v>
      </c>
      <c r="G170" s="10">
        <v>2</v>
      </c>
      <c r="H170" s="16">
        <v>45116800</v>
      </c>
      <c r="I170" s="14">
        <v>5887</v>
      </c>
      <c r="J170" s="10">
        <v>0</v>
      </c>
      <c r="K170" s="10">
        <v>0</v>
      </c>
      <c r="L170" s="10">
        <v>34</v>
      </c>
      <c r="M170" s="10">
        <v>2</v>
      </c>
      <c r="N170" s="10">
        <v>0</v>
      </c>
      <c r="O170" s="10">
        <v>1</v>
      </c>
      <c r="P170" s="10">
        <v>25</v>
      </c>
      <c r="Q170" s="10">
        <v>0</v>
      </c>
    </row>
    <row r="171" spans="1:19" s="10" customFormat="1" ht="15" customHeight="1" x14ac:dyDescent="0.35">
      <c r="A171">
        <v>2022</v>
      </c>
      <c r="B171" s="10" t="s">
        <v>18</v>
      </c>
      <c r="C171" t="s">
        <v>12</v>
      </c>
      <c r="D171" s="10">
        <v>18</v>
      </c>
      <c r="E171" s="10">
        <v>55</v>
      </c>
      <c r="F171" s="12">
        <v>73</v>
      </c>
      <c r="G171" s="10">
        <v>6</v>
      </c>
      <c r="H171" s="16">
        <v>151116176</v>
      </c>
      <c r="I171" s="15">
        <v>17417</v>
      </c>
      <c r="J171" s="10">
        <v>13</v>
      </c>
      <c r="K171" s="10">
        <v>0</v>
      </c>
      <c r="L171" s="10">
        <v>40</v>
      </c>
      <c r="M171" s="10">
        <v>9</v>
      </c>
      <c r="N171" s="10">
        <v>0</v>
      </c>
      <c r="O171" s="10">
        <v>0</v>
      </c>
      <c r="P171" s="10">
        <v>11</v>
      </c>
      <c r="Q171" s="10">
        <v>0</v>
      </c>
    </row>
    <row r="172" spans="1:19" ht="16.5" customHeight="1" x14ac:dyDescent="0.35">
      <c r="A172">
        <v>2022</v>
      </c>
      <c r="B172" s="10" t="s">
        <v>19</v>
      </c>
      <c r="C172" t="s">
        <v>8</v>
      </c>
      <c r="D172" s="10">
        <v>42</v>
      </c>
      <c r="E172" s="10">
        <v>68</v>
      </c>
      <c r="F172" s="12">
        <v>110</v>
      </c>
      <c r="G172" s="10">
        <v>10</v>
      </c>
      <c r="H172" s="16">
        <v>597890600</v>
      </c>
      <c r="I172" s="15">
        <v>68616</v>
      </c>
      <c r="J172" s="10">
        <v>0</v>
      </c>
      <c r="K172" s="10">
        <v>0</v>
      </c>
      <c r="L172" s="10">
        <v>56</v>
      </c>
      <c r="M172" s="10">
        <v>12</v>
      </c>
      <c r="N172" s="10">
        <v>1</v>
      </c>
      <c r="O172" s="10">
        <v>0</v>
      </c>
      <c r="P172" s="10">
        <v>41</v>
      </c>
      <c r="Q172" s="10">
        <v>7</v>
      </c>
      <c r="R172" s="10"/>
      <c r="S172" s="10"/>
    </row>
    <row r="173" spans="1:19" ht="16.5" customHeight="1" x14ac:dyDescent="0.35">
      <c r="A173">
        <v>2022</v>
      </c>
      <c r="B173" s="10" t="s">
        <v>19</v>
      </c>
      <c r="C173" t="s">
        <v>9</v>
      </c>
      <c r="D173" s="10">
        <v>9</v>
      </c>
      <c r="E173" s="10">
        <v>34</v>
      </c>
      <c r="F173" s="12">
        <v>43</v>
      </c>
      <c r="G173" s="10">
        <v>1</v>
      </c>
      <c r="H173" s="16">
        <v>40654200</v>
      </c>
      <c r="I173" s="15">
        <v>4257</v>
      </c>
      <c r="J173" s="10">
        <v>6</v>
      </c>
      <c r="K173" s="10">
        <v>0</v>
      </c>
      <c r="L173" s="10">
        <v>26</v>
      </c>
      <c r="M173" s="10">
        <v>0</v>
      </c>
      <c r="N173" s="10">
        <v>0</v>
      </c>
      <c r="O173" s="10">
        <v>0</v>
      </c>
      <c r="P173" s="10">
        <v>11</v>
      </c>
      <c r="Q173" s="10">
        <v>8</v>
      </c>
      <c r="R173" s="10"/>
      <c r="S173" s="10"/>
    </row>
    <row r="174" spans="1:19" ht="16.5" customHeight="1" x14ac:dyDescent="0.35">
      <c r="A174">
        <v>2022</v>
      </c>
      <c r="B174" s="10" t="s">
        <v>19</v>
      </c>
      <c r="C174" t="s">
        <v>10</v>
      </c>
      <c r="D174" s="10">
        <v>33</v>
      </c>
      <c r="E174" s="10">
        <v>95</v>
      </c>
      <c r="F174" s="12">
        <v>128</v>
      </c>
      <c r="G174" s="10">
        <v>10</v>
      </c>
      <c r="H174" s="16">
        <v>240735200</v>
      </c>
      <c r="I174" s="15">
        <v>26691</v>
      </c>
      <c r="J174" s="10">
        <v>0</v>
      </c>
      <c r="K174" s="10">
        <v>0</v>
      </c>
      <c r="L174" s="10">
        <v>85</v>
      </c>
      <c r="M174" s="10">
        <v>8</v>
      </c>
      <c r="N174" s="10">
        <v>0</v>
      </c>
      <c r="O174" s="10">
        <v>0</v>
      </c>
      <c r="P174" s="10">
        <v>42</v>
      </c>
      <c r="Q174" s="10">
        <v>0</v>
      </c>
      <c r="R174" s="10"/>
      <c r="S174" s="10"/>
    </row>
    <row r="175" spans="1:19" ht="16.5" customHeight="1" x14ac:dyDescent="0.35">
      <c r="A175">
        <v>2022</v>
      </c>
      <c r="B175" s="10" t="s">
        <v>19</v>
      </c>
      <c r="C175" t="s">
        <v>11</v>
      </c>
      <c r="D175" s="10">
        <v>18</v>
      </c>
      <c r="E175" s="10">
        <v>77</v>
      </c>
      <c r="F175" s="12">
        <v>95</v>
      </c>
      <c r="G175" s="10">
        <v>6</v>
      </c>
      <c r="H175" s="16">
        <v>102427200</v>
      </c>
      <c r="I175" s="15">
        <v>12382</v>
      </c>
      <c r="J175" s="10">
        <v>0</v>
      </c>
      <c r="K175" s="10">
        <v>0</v>
      </c>
      <c r="L175" s="10">
        <v>48</v>
      </c>
      <c r="M175" s="10">
        <v>3</v>
      </c>
      <c r="N175" s="10">
        <v>0</v>
      </c>
      <c r="O175" s="10">
        <v>0</v>
      </c>
      <c r="P175" s="10">
        <v>45</v>
      </c>
      <c r="Q175" s="10">
        <v>0</v>
      </c>
      <c r="R175" s="10"/>
      <c r="S175" s="10"/>
    </row>
    <row r="176" spans="1:19" ht="16.5" customHeight="1" x14ac:dyDescent="0.35">
      <c r="A176">
        <v>2022</v>
      </c>
      <c r="B176" s="10" t="s">
        <v>19</v>
      </c>
      <c r="C176" t="s">
        <v>12</v>
      </c>
      <c r="D176" s="10">
        <v>37</v>
      </c>
      <c r="E176" s="10">
        <v>60</v>
      </c>
      <c r="F176" s="12">
        <v>97</v>
      </c>
      <c r="G176" s="10">
        <v>8</v>
      </c>
      <c r="H176" s="16">
        <v>674927108</v>
      </c>
      <c r="I176" s="15">
        <v>78022</v>
      </c>
      <c r="J176" s="10">
        <v>15</v>
      </c>
      <c r="K176" s="10">
        <v>0</v>
      </c>
      <c r="L176" s="10">
        <v>53</v>
      </c>
      <c r="M176" s="10">
        <v>17</v>
      </c>
      <c r="N176" s="10">
        <v>0</v>
      </c>
      <c r="O176" s="10">
        <v>1</v>
      </c>
      <c r="P176" s="10">
        <v>11</v>
      </c>
      <c r="Q176" s="10">
        <v>0</v>
      </c>
      <c r="R176" s="10"/>
      <c r="S176" s="10"/>
    </row>
    <row r="177" spans="1:18" ht="15.75" customHeight="1" x14ac:dyDescent="0.35">
      <c r="A177">
        <v>2022</v>
      </c>
      <c r="B177" s="10" t="s">
        <v>20</v>
      </c>
      <c r="C177" t="s">
        <v>8</v>
      </c>
      <c r="D177" s="10">
        <v>45</v>
      </c>
      <c r="E177" s="10">
        <v>61</v>
      </c>
      <c r="F177" s="12">
        <v>106</v>
      </c>
      <c r="G177" s="10">
        <v>5</v>
      </c>
      <c r="H177" s="16">
        <v>158942100</v>
      </c>
      <c r="I177" s="14">
        <v>19042</v>
      </c>
      <c r="J177" s="10">
        <v>0</v>
      </c>
      <c r="K177" s="10">
        <v>0</v>
      </c>
      <c r="L177" s="10">
        <v>49</v>
      </c>
      <c r="M177" s="10">
        <v>11</v>
      </c>
      <c r="N177" s="10">
        <v>1</v>
      </c>
      <c r="O177" s="10">
        <v>1</v>
      </c>
      <c r="P177" s="10">
        <v>44</v>
      </c>
      <c r="Q177" s="10">
        <v>1</v>
      </c>
      <c r="R177" s="10"/>
    </row>
    <row r="178" spans="1:18" ht="15.75" customHeight="1" x14ac:dyDescent="0.35">
      <c r="A178">
        <v>2022</v>
      </c>
      <c r="B178" s="10" t="s">
        <v>20</v>
      </c>
      <c r="C178" t="s">
        <v>9</v>
      </c>
      <c r="D178" s="10">
        <v>6</v>
      </c>
      <c r="E178" s="10">
        <v>32</v>
      </c>
      <c r="F178" s="12">
        <v>38</v>
      </c>
      <c r="G178" s="10">
        <v>4</v>
      </c>
      <c r="H178" s="16">
        <v>80911000</v>
      </c>
      <c r="I178" s="14">
        <v>14535</v>
      </c>
      <c r="J178" s="10">
        <v>10</v>
      </c>
      <c r="K178" s="10">
        <v>0</v>
      </c>
      <c r="L178" s="10">
        <v>21</v>
      </c>
      <c r="M178" s="10">
        <v>0</v>
      </c>
      <c r="N178" s="10">
        <v>1</v>
      </c>
      <c r="O178" s="10">
        <v>0</v>
      </c>
      <c r="P178" s="10">
        <v>5</v>
      </c>
      <c r="Q178" s="10">
        <v>3</v>
      </c>
      <c r="R178" s="10"/>
    </row>
    <row r="179" spans="1:18" ht="15.75" customHeight="1" x14ac:dyDescent="0.35">
      <c r="A179">
        <v>2022</v>
      </c>
      <c r="B179" s="10" t="s">
        <v>20</v>
      </c>
      <c r="C179" t="s">
        <v>10</v>
      </c>
      <c r="D179" s="10">
        <v>21</v>
      </c>
      <c r="E179" s="10">
        <v>74</v>
      </c>
      <c r="F179" s="12">
        <v>95</v>
      </c>
      <c r="G179" s="10">
        <v>7</v>
      </c>
      <c r="H179" s="16">
        <v>130199000</v>
      </c>
      <c r="I179" s="14">
        <v>15647</v>
      </c>
      <c r="J179" s="10">
        <v>0</v>
      </c>
      <c r="K179" s="10">
        <v>0</v>
      </c>
      <c r="L179" s="10">
        <v>81</v>
      </c>
      <c r="M179" s="10">
        <v>4</v>
      </c>
      <c r="N179" s="10">
        <v>0</v>
      </c>
      <c r="O179" s="10">
        <v>0</v>
      </c>
      <c r="P179" s="10">
        <v>17</v>
      </c>
      <c r="Q179" s="10">
        <v>0</v>
      </c>
      <c r="R179" s="10"/>
    </row>
    <row r="180" spans="1:18" ht="15.75" customHeight="1" x14ac:dyDescent="0.35">
      <c r="A180">
        <v>2022</v>
      </c>
      <c r="B180" s="10" t="s">
        <v>20</v>
      </c>
      <c r="C180" t="s">
        <v>11</v>
      </c>
      <c r="D180" s="10">
        <v>3</v>
      </c>
      <c r="E180" s="10">
        <v>32</v>
      </c>
      <c r="F180" s="12">
        <v>35</v>
      </c>
      <c r="G180" s="10">
        <v>3</v>
      </c>
      <c r="H180" s="16">
        <v>43790700</v>
      </c>
      <c r="I180" s="14">
        <v>4378</v>
      </c>
      <c r="J180" s="10">
        <v>0</v>
      </c>
      <c r="K180" s="10">
        <v>0</v>
      </c>
      <c r="L180" s="10">
        <v>19</v>
      </c>
      <c r="M180" s="10">
        <v>1</v>
      </c>
      <c r="N180" s="10">
        <v>0</v>
      </c>
      <c r="O180" s="10">
        <v>1</v>
      </c>
      <c r="P180" s="10">
        <v>14</v>
      </c>
      <c r="Q180" s="10">
        <v>0</v>
      </c>
      <c r="R180" s="10"/>
    </row>
    <row r="181" spans="1:18" ht="15.75" customHeight="1" x14ac:dyDescent="0.35">
      <c r="A181">
        <v>2022</v>
      </c>
      <c r="B181" s="10" t="s">
        <v>20</v>
      </c>
      <c r="C181" t="s">
        <v>12</v>
      </c>
      <c r="D181" s="10">
        <v>21</v>
      </c>
      <c r="E181" s="10">
        <v>47</v>
      </c>
      <c r="F181" s="12">
        <v>68</v>
      </c>
      <c r="G181" s="10">
        <v>4</v>
      </c>
      <c r="H181" s="16">
        <v>65491814</v>
      </c>
      <c r="I181" s="14">
        <v>7606</v>
      </c>
      <c r="J181" s="10">
        <v>5</v>
      </c>
      <c r="K181" s="10">
        <v>0</v>
      </c>
      <c r="L181" s="10">
        <v>47</v>
      </c>
      <c r="M181" s="10">
        <v>5</v>
      </c>
      <c r="N181" s="10">
        <v>0</v>
      </c>
      <c r="O181" s="10">
        <v>1</v>
      </c>
      <c r="P181" s="10">
        <v>10</v>
      </c>
      <c r="Q181" s="10">
        <v>0</v>
      </c>
      <c r="R181" s="10"/>
    </row>
    <row r="182" spans="1:18" ht="15.75" customHeight="1" x14ac:dyDescent="0.35">
      <c r="A182">
        <v>2022</v>
      </c>
      <c r="B182" s="10" t="s">
        <v>21</v>
      </c>
      <c r="C182" t="s">
        <v>8</v>
      </c>
      <c r="D182" s="10">
        <v>22</v>
      </c>
      <c r="E182" s="10">
        <v>52</v>
      </c>
      <c r="F182" s="12">
        <v>74</v>
      </c>
      <c r="G182" s="10">
        <v>3</v>
      </c>
      <c r="H182" s="16">
        <v>158326200</v>
      </c>
      <c r="I182" s="14">
        <v>27644</v>
      </c>
      <c r="J182" s="10">
        <v>1</v>
      </c>
      <c r="K182" s="10">
        <v>0</v>
      </c>
      <c r="L182" s="10">
        <v>38</v>
      </c>
      <c r="M182" s="10">
        <v>5</v>
      </c>
      <c r="N182" s="10">
        <v>0</v>
      </c>
      <c r="O182" s="10">
        <v>1</v>
      </c>
      <c r="P182" s="10">
        <v>29</v>
      </c>
      <c r="Q182" s="10">
        <v>4</v>
      </c>
      <c r="R182" s="10"/>
    </row>
    <row r="183" spans="1:18" ht="15.75" customHeight="1" x14ac:dyDescent="0.35">
      <c r="A183">
        <v>2022</v>
      </c>
      <c r="B183" s="10" t="s">
        <v>21</v>
      </c>
      <c r="C183" t="s">
        <v>9</v>
      </c>
      <c r="D183" s="10">
        <v>4</v>
      </c>
      <c r="E183" s="10">
        <v>17</v>
      </c>
      <c r="F183" s="12">
        <v>21</v>
      </c>
      <c r="G183" s="10">
        <v>2</v>
      </c>
      <c r="H183" s="16">
        <v>42040800</v>
      </c>
      <c r="I183" s="14">
        <v>4871</v>
      </c>
      <c r="J183" s="10">
        <v>9</v>
      </c>
      <c r="K183" s="10">
        <v>0</v>
      </c>
      <c r="L183" s="10">
        <v>9</v>
      </c>
      <c r="M183" s="10">
        <v>2</v>
      </c>
      <c r="N183" s="10">
        <v>0</v>
      </c>
      <c r="O183" s="10">
        <v>0</v>
      </c>
      <c r="P183" s="10">
        <v>1</v>
      </c>
      <c r="Q183" s="10">
        <v>14</v>
      </c>
      <c r="R183" s="10"/>
    </row>
    <row r="184" spans="1:18" ht="15.75" customHeight="1" x14ac:dyDescent="0.35">
      <c r="A184">
        <v>2022</v>
      </c>
      <c r="B184" s="10" t="s">
        <v>21</v>
      </c>
      <c r="C184" t="s">
        <v>10</v>
      </c>
      <c r="D184" s="10">
        <v>7</v>
      </c>
      <c r="E184" s="10">
        <v>56</v>
      </c>
      <c r="F184" s="12">
        <v>63</v>
      </c>
      <c r="G184" s="10">
        <v>8</v>
      </c>
      <c r="H184" s="16">
        <v>787157200</v>
      </c>
      <c r="I184" s="14">
        <v>88518</v>
      </c>
      <c r="J184" s="10">
        <v>0</v>
      </c>
      <c r="K184" s="10">
        <v>0</v>
      </c>
      <c r="L184" s="10">
        <v>43</v>
      </c>
      <c r="M184" s="10">
        <v>4</v>
      </c>
      <c r="N184" s="10">
        <v>0</v>
      </c>
      <c r="O184" s="10">
        <v>0</v>
      </c>
      <c r="P184" s="10">
        <v>18</v>
      </c>
      <c r="Q184" s="10">
        <v>0</v>
      </c>
      <c r="R184" s="10"/>
    </row>
    <row r="185" spans="1:18" ht="15.75" customHeight="1" x14ac:dyDescent="0.35">
      <c r="A185">
        <v>2022</v>
      </c>
      <c r="B185" s="10" t="s">
        <v>21</v>
      </c>
      <c r="C185" t="s">
        <v>11</v>
      </c>
      <c r="D185" s="10">
        <v>6</v>
      </c>
      <c r="E185" s="10">
        <v>33</v>
      </c>
      <c r="F185" s="12">
        <v>39</v>
      </c>
      <c r="G185" s="10">
        <v>2</v>
      </c>
      <c r="H185" s="16">
        <v>45834200</v>
      </c>
      <c r="I185" s="14">
        <v>6323</v>
      </c>
      <c r="J185" s="10">
        <v>0</v>
      </c>
      <c r="K185" s="10">
        <v>0</v>
      </c>
      <c r="L185" s="10">
        <v>26</v>
      </c>
      <c r="M185" s="10">
        <v>0</v>
      </c>
      <c r="N185" s="10">
        <v>0</v>
      </c>
      <c r="O185" s="10">
        <v>0</v>
      </c>
      <c r="P185" s="10">
        <v>13</v>
      </c>
      <c r="Q185" s="10">
        <v>0</v>
      </c>
      <c r="R185" s="10"/>
    </row>
    <row r="186" spans="1:18" ht="15.75" customHeight="1" x14ac:dyDescent="0.35">
      <c r="A186">
        <v>2022</v>
      </c>
      <c r="B186" s="10" t="s">
        <v>21</v>
      </c>
      <c r="C186" t="s">
        <v>12</v>
      </c>
      <c r="D186" s="10">
        <v>19</v>
      </c>
      <c r="E186" s="10">
        <v>47</v>
      </c>
      <c r="F186" s="12">
        <v>66</v>
      </c>
      <c r="G186" s="10">
        <v>7</v>
      </c>
      <c r="H186" s="16">
        <v>91064200</v>
      </c>
      <c r="I186" s="14">
        <v>10366</v>
      </c>
      <c r="J186" s="10">
        <v>5</v>
      </c>
      <c r="K186" s="10">
        <v>0</v>
      </c>
      <c r="L186" s="10">
        <v>38</v>
      </c>
      <c r="M186" s="10">
        <v>9</v>
      </c>
      <c r="N186" s="10">
        <v>0</v>
      </c>
      <c r="O186" s="10">
        <v>0</v>
      </c>
      <c r="P186" s="10">
        <v>14</v>
      </c>
      <c r="Q186" s="10">
        <v>0</v>
      </c>
      <c r="R186" s="10"/>
    </row>
    <row r="187" spans="1:18" ht="15.75" customHeight="1" x14ac:dyDescent="0.35">
      <c r="A187">
        <v>2021</v>
      </c>
      <c r="B187" s="10" t="s">
        <v>7</v>
      </c>
      <c r="C187" t="s">
        <v>8</v>
      </c>
      <c r="D187" s="10">
        <v>27</v>
      </c>
      <c r="E187" s="10">
        <v>59</v>
      </c>
      <c r="F187" s="12">
        <v>86</v>
      </c>
      <c r="G187" s="10">
        <v>9</v>
      </c>
      <c r="H187" s="16">
        <v>96292800</v>
      </c>
      <c r="I187" s="14">
        <v>11652</v>
      </c>
      <c r="J187" s="10">
        <v>0</v>
      </c>
      <c r="K187" s="10">
        <v>0</v>
      </c>
      <c r="L187" s="10">
        <v>46</v>
      </c>
      <c r="M187" s="10">
        <v>6</v>
      </c>
      <c r="N187" s="10">
        <v>1</v>
      </c>
      <c r="O187" s="10">
        <v>0</v>
      </c>
      <c r="P187" s="10">
        <v>333</v>
      </c>
      <c r="Q187">
        <v>7</v>
      </c>
    </row>
    <row r="188" spans="1:18" ht="15.75" customHeight="1" x14ac:dyDescent="0.35">
      <c r="A188">
        <v>2021</v>
      </c>
      <c r="B188" s="10" t="s">
        <v>7</v>
      </c>
      <c r="C188" t="s">
        <v>9</v>
      </c>
      <c r="D188" s="10">
        <v>8</v>
      </c>
      <c r="E188" s="10">
        <v>27</v>
      </c>
      <c r="F188" s="12">
        <v>35</v>
      </c>
      <c r="G188" s="10">
        <v>2</v>
      </c>
      <c r="H188" s="16">
        <v>44747400</v>
      </c>
      <c r="I188" s="14">
        <v>5166</v>
      </c>
      <c r="J188" s="10">
        <v>11</v>
      </c>
      <c r="K188" s="10">
        <v>0</v>
      </c>
      <c r="L188" s="10">
        <v>21</v>
      </c>
      <c r="M188" s="10">
        <v>0</v>
      </c>
      <c r="N188" s="10">
        <v>0</v>
      </c>
      <c r="O188" s="10">
        <v>0</v>
      </c>
      <c r="P188" s="10">
        <v>3</v>
      </c>
      <c r="Q188">
        <v>12</v>
      </c>
    </row>
    <row r="189" spans="1:18" ht="15.75" customHeight="1" x14ac:dyDescent="0.35">
      <c r="A189">
        <v>2021</v>
      </c>
      <c r="B189" s="10" t="s">
        <v>7</v>
      </c>
      <c r="C189" t="s">
        <v>10</v>
      </c>
      <c r="D189" s="10">
        <v>16</v>
      </c>
      <c r="E189" s="10">
        <v>46</v>
      </c>
      <c r="F189" s="12">
        <v>62</v>
      </c>
      <c r="G189" s="10">
        <v>7</v>
      </c>
      <c r="H189" s="16">
        <v>353578310</v>
      </c>
      <c r="I189" s="14">
        <v>59718</v>
      </c>
      <c r="J189" s="10">
        <v>0</v>
      </c>
      <c r="K189" s="10">
        <v>0</v>
      </c>
      <c r="L189" s="10">
        <v>36</v>
      </c>
      <c r="M189" s="10">
        <v>4</v>
      </c>
      <c r="N189" s="10">
        <v>2</v>
      </c>
      <c r="O189" s="10">
        <v>1</v>
      </c>
      <c r="P189" s="10">
        <v>22</v>
      </c>
      <c r="Q189">
        <v>0</v>
      </c>
    </row>
    <row r="190" spans="1:18" ht="15.75" customHeight="1" x14ac:dyDescent="0.35">
      <c r="A190">
        <v>2021</v>
      </c>
      <c r="B190" s="10" t="s">
        <v>7</v>
      </c>
      <c r="C190" t="s">
        <v>11</v>
      </c>
      <c r="D190" s="10">
        <v>15</v>
      </c>
      <c r="E190" s="10">
        <v>68</v>
      </c>
      <c r="F190" s="12">
        <v>83</v>
      </c>
      <c r="G190" s="10">
        <v>3</v>
      </c>
      <c r="H190" s="16">
        <v>64158800</v>
      </c>
      <c r="I190" s="14">
        <v>9164</v>
      </c>
      <c r="J190" s="10">
        <v>0</v>
      </c>
      <c r="K190" s="10">
        <v>0</v>
      </c>
      <c r="L190" s="10">
        <v>48</v>
      </c>
      <c r="M190" s="10">
        <v>0</v>
      </c>
      <c r="N190" s="10">
        <v>1</v>
      </c>
      <c r="O190" s="10">
        <v>1</v>
      </c>
      <c r="P190" s="10">
        <v>33</v>
      </c>
      <c r="Q190">
        <v>0</v>
      </c>
    </row>
    <row r="191" spans="1:18" ht="15.75" customHeight="1" x14ac:dyDescent="0.35">
      <c r="A191">
        <v>2021</v>
      </c>
      <c r="B191" s="10" t="s">
        <v>7</v>
      </c>
      <c r="C191" t="s">
        <v>12</v>
      </c>
      <c r="D191" s="10">
        <v>28</v>
      </c>
      <c r="E191" s="10">
        <v>60</v>
      </c>
      <c r="F191" s="12">
        <v>88</v>
      </c>
      <c r="G191" s="10">
        <v>8</v>
      </c>
      <c r="H191" s="16">
        <v>116852000</v>
      </c>
      <c r="I191" s="14">
        <v>13405</v>
      </c>
      <c r="J191" s="10">
        <v>14</v>
      </c>
      <c r="K191" s="10">
        <v>0</v>
      </c>
      <c r="L191" s="10">
        <v>41</v>
      </c>
      <c r="M191" s="10">
        <v>14</v>
      </c>
      <c r="N191" s="10">
        <v>1</v>
      </c>
      <c r="O191" s="10">
        <v>1</v>
      </c>
      <c r="P191" s="10">
        <v>17</v>
      </c>
      <c r="Q191">
        <v>0</v>
      </c>
    </row>
    <row r="192" spans="1:18" ht="15.75" customHeight="1" x14ac:dyDescent="0.35">
      <c r="A192">
        <v>2021</v>
      </c>
      <c r="B192" t="s">
        <v>27</v>
      </c>
      <c r="C192" t="s">
        <v>8</v>
      </c>
      <c r="D192">
        <v>41</v>
      </c>
      <c r="E192">
        <v>66</v>
      </c>
      <c r="F192">
        <v>107</v>
      </c>
      <c r="G192">
        <v>5</v>
      </c>
      <c r="H192" s="16">
        <v>144357200</v>
      </c>
      <c r="I192" s="11">
        <v>17075</v>
      </c>
      <c r="J192">
        <v>1</v>
      </c>
      <c r="K192" s="10">
        <v>0</v>
      </c>
      <c r="L192">
        <v>68</v>
      </c>
      <c r="M192">
        <v>8</v>
      </c>
      <c r="N192">
        <v>1</v>
      </c>
      <c r="O192">
        <v>0</v>
      </c>
      <c r="P192">
        <v>29</v>
      </c>
      <c r="Q192">
        <v>6</v>
      </c>
    </row>
    <row r="193" spans="1:17" ht="15.75" customHeight="1" x14ac:dyDescent="0.35">
      <c r="A193">
        <v>2021</v>
      </c>
      <c r="B193" t="s">
        <v>27</v>
      </c>
      <c r="C193" t="s">
        <v>9</v>
      </c>
      <c r="D193">
        <v>7</v>
      </c>
      <c r="E193">
        <v>37</v>
      </c>
      <c r="F193">
        <v>44</v>
      </c>
      <c r="G193">
        <v>3</v>
      </c>
      <c r="H193" s="16">
        <v>198063400</v>
      </c>
      <c r="I193" s="11">
        <v>22118</v>
      </c>
      <c r="J193">
        <v>10</v>
      </c>
      <c r="K193" s="10">
        <v>0</v>
      </c>
      <c r="L193">
        <v>29</v>
      </c>
      <c r="M193">
        <v>3</v>
      </c>
      <c r="N193">
        <v>0</v>
      </c>
      <c r="O193">
        <v>0</v>
      </c>
      <c r="P193">
        <v>0</v>
      </c>
      <c r="Q193">
        <v>16</v>
      </c>
    </row>
    <row r="194" spans="1:17" ht="15.75" customHeight="1" x14ac:dyDescent="0.35">
      <c r="A194">
        <v>2021</v>
      </c>
      <c r="B194" t="s">
        <v>27</v>
      </c>
      <c r="C194" t="s">
        <v>10</v>
      </c>
      <c r="D194">
        <v>15</v>
      </c>
      <c r="E194">
        <v>24</v>
      </c>
      <c r="F194">
        <v>39</v>
      </c>
      <c r="G194">
        <v>6</v>
      </c>
      <c r="H194" s="16">
        <v>345850400</v>
      </c>
      <c r="I194" s="11">
        <v>47275</v>
      </c>
      <c r="J194">
        <v>1</v>
      </c>
      <c r="K194" s="10">
        <v>0</v>
      </c>
      <c r="L194">
        <v>18</v>
      </c>
      <c r="M194">
        <v>1</v>
      </c>
      <c r="N194">
        <v>0</v>
      </c>
      <c r="O194">
        <v>1</v>
      </c>
      <c r="P194">
        <v>23</v>
      </c>
      <c r="Q194">
        <v>0</v>
      </c>
    </row>
    <row r="195" spans="1:17" ht="15.75" customHeight="1" x14ac:dyDescent="0.35">
      <c r="A195">
        <v>2021</v>
      </c>
      <c r="B195" t="s">
        <v>27</v>
      </c>
      <c r="C195" t="s">
        <v>11</v>
      </c>
      <c r="D195">
        <v>7</v>
      </c>
      <c r="E195">
        <v>65</v>
      </c>
      <c r="F195">
        <v>72</v>
      </c>
      <c r="G195">
        <v>8</v>
      </c>
      <c r="H195" s="16">
        <v>146757600</v>
      </c>
      <c r="I195" s="11">
        <v>18391</v>
      </c>
      <c r="J195">
        <v>0</v>
      </c>
      <c r="K195" s="10">
        <v>0</v>
      </c>
      <c r="L195">
        <v>44</v>
      </c>
      <c r="M195">
        <v>1</v>
      </c>
      <c r="N195">
        <v>0</v>
      </c>
      <c r="O195">
        <v>1</v>
      </c>
      <c r="P195">
        <v>26</v>
      </c>
      <c r="Q195">
        <v>0</v>
      </c>
    </row>
    <row r="196" spans="1:17" ht="15.75" customHeight="1" x14ac:dyDescent="0.35">
      <c r="A196">
        <v>2021</v>
      </c>
      <c r="B196" t="s">
        <v>27</v>
      </c>
      <c r="C196" t="s">
        <v>12</v>
      </c>
      <c r="D196">
        <v>31</v>
      </c>
      <c r="E196">
        <v>69</v>
      </c>
      <c r="F196">
        <v>100</v>
      </c>
      <c r="G196">
        <v>7</v>
      </c>
      <c r="H196" s="16">
        <v>122353750</v>
      </c>
      <c r="I196" s="11">
        <v>13905</v>
      </c>
      <c r="J196">
        <v>19</v>
      </c>
      <c r="K196" s="10">
        <v>0</v>
      </c>
      <c r="L196">
        <v>53</v>
      </c>
      <c r="M196">
        <v>15</v>
      </c>
      <c r="N196">
        <v>0</v>
      </c>
      <c r="O196">
        <v>0</v>
      </c>
      <c r="P196">
        <v>13</v>
      </c>
      <c r="Q196">
        <v>0</v>
      </c>
    </row>
    <row r="197" spans="1:17" ht="15.75" customHeight="1" x14ac:dyDescent="0.35">
      <c r="A197">
        <v>2021</v>
      </c>
      <c r="B197" t="s">
        <v>26</v>
      </c>
      <c r="C197" t="s">
        <v>8</v>
      </c>
      <c r="D197">
        <v>42</v>
      </c>
      <c r="E197">
        <v>72</v>
      </c>
      <c r="F197">
        <v>114</v>
      </c>
      <c r="G197">
        <v>9</v>
      </c>
      <c r="H197" s="16">
        <v>200376500</v>
      </c>
      <c r="I197" s="11">
        <v>21604</v>
      </c>
      <c r="J197">
        <v>0</v>
      </c>
      <c r="K197" s="10">
        <v>0</v>
      </c>
      <c r="L197">
        <v>56</v>
      </c>
      <c r="M197">
        <v>6</v>
      </c>
      <c r="N197">
        <v>1</v>
      </c>
      <c r="O197">
        <v>1</v>
      </c>
      <c r="P197">
        <v>50</v>
      </c>
      <c r="Q197">
        <v>4</v>
      </c>
    </row>
    <row r="198" spans="1:17" ht="15.75" customHeight="1" x14ac:dyDescent="0.35">
      <c r="A198">
        <v>2021</v>
      </c>
      <c r="B198" t="s">
        <v>26</v>
      </c>
      <c r="C198" t="s">
        <v>9</v>
      </c>
      <c r="D198">
        <v>0</v>
      </c>
      <c r="E198">
        <v>42</v>
      </c>
      <c r="F198">
        <v>42</v>
      </c>
      <c r="G198">
        <v>1</v>
      </c>
      <c r="H198" s="16">
        <v>36495000</v>
      </c>
      <c r="I198" s="11">
        <v>4426</v>
      </c>
      <c r="J198">
        <v>10</v>
      </c>
      <c r="K198" s="10">
        <v>0</v>
      </c>
      <c r="L198">
        <v>30</v>
      </c>
      <c r="M198">
        <v>0</v>
      </c>
      <c r="N198">
        <v>0</v>
      </c>
      <c r="O198">
        <v>1</v>
      </c>
      <c r="P198">
        <v>1</v>
      </c>
      <c r="Q198">
        <v>8</v>
      </c>
    </row>
    <row r="199" spans="1:17" ht="15.75" customHeight="1" x14ac:dyDescent="0.35">
      <c r="A199">
        <v>2021</v>
      </c>
      <c r="B199" t="s">
        <v>26</v>
      </c>
      <c r="C199" t="s">
        <v>10</v>
      </c>
      <c r="D199">
        <v>30</v>
      </c>
      <c r="E199">
        <v>36</v>
      </c>
      <c r="F199">
        <v>66</v>
      </c>
      <c r="G199">
        <v>8</v>
      </c>
      <c r="H199" s="16">
        <v>642011000</v>
      </c>
      <c r="I199" s="11">
        <v>75945</v>
      </c>
      <c r="J199">
        <v>0</v>
      </c>
      <c r="K199" s="10">
        <v>0</v>
      </c>
      <c r="L199">
        <v>49</v>
      </c>
      <c r="M199">
        <v>3</v>
      </c>
      <c r="N199">
        <v>1</v>
      </c>
      <c r="O199">
        <v>1</v>
      </c>
      <c r="P199">
        <v>18</v>
      </c>
      <c r="Q199">
        <v>0</v>
      </c>
    </row>
    <row r="200" spans="1:17" ht="15.75" customHeight="1" x14ac:dyDescent="0.35">
      <c r="A200">
        <v>2021</v>
      </c>
      <c r="B200" t="s">
        <v>26</v>
      </c>
      <c r="C200" t="s">
        <v>11</v>
      </c>
      <c r="D200">
        <v>8</v>
      </c>
      <c r="E200">
        <v>62</v>
      </c>
      <c r="F200">
        <v>70</v>
      </c>
      <c r="G200">
        <v>3</v>
      </c>
      <c r="H200" s="16">
        <v>50373400</v>
      </c>
      <c r="I200" s="11">
        <v>12946</v>
      </c>
      <c r="J200">
        <v>0</v>
      </c>
      <c r="K200" s="10">
        <v>0</v>
      </c>
      <c r="L200">
        <v>43</v>
      </c>
      <c r="M200">
        <v>1</v>
      </c>
      <c r="N200">
        <v>0</v>
      </c>
      <c r="O200">
        <v>3</v>
      </c>
      <c r="P200">
        <v>24</v>
      </c>
      <c r="Q200">
        <v>0</v>
      </c>
    </row>
    <row r="201" spans="1:17" ht="15.75" customHeight="1" x14ac:dyDescent="0.35">
      <c r="A201">
        <v>2021</v>
      </c>
      <c r="B201" t="s">
        <v>26</v>
      </c>
      <c r="C201" t="s">
        <v>12</v>
      </c>
      <c r="D201">
        <v>30</v>
      </c>
      <c r="E201">
        <v>76</v>
      </c>
      <c r="F201">
        <v>106</v>
      </c>
      <c r="G201">
        <v>5</v>
      </c>
      <c r="H201" s="16">
        <v>217590500</v>
      </c>
      <c r="I201" s="11">
        <v>24485</v>
      </c>
      <c r="J201">
        <v>8</v>
      </c>
      <c r="K201" s="10">
        <v>0</v>
      </c>
      <c r="L201">
        <v>67</v>
      </c>
      <c r="M201">
        <v>10</v>
      </c>
      <c r="N201">
        <v>0</v>
      </c>
      <c r="O201">
        <v>0</v>
      </c>
      <c r="P201">
        <v>21</v>
      </c>
      <c r="Q201">
        <v>0</v>
      </c>
    </row>
    <row r="202" spans="1:17" ht="15.75" customHeight="1" x14ac:dyDescent="0.35">
      <c r="A202">
        <v>2021</v>
      </c>
      <c r="B202" t="s">
        <v>13</v>
      </c>
      <c r="C202" t="s">
        <v>8</v>
      </c>
      <c r="D202">
        <v>32</v>
      </c>
      <c r="E202">
        <v>59</v>
      </c>
      <c r="F202">
        <v>91</v>
      </c>
      <c r="G202">
        <v>7</v>
      </c>
      <c r="H202" s="16">
        <v>95026800</v>
      </c>
      <c r="I202" s="11">
        <v>12504</v>
      </c>
      <c r="J202">
        <v>2</v>
      </c>
      <c r="K202" s="10">
        <v>0</v>
      </c>
      <c r="L202">
        <v>34</v>
      </c>
      <c r="M202">
        <v>11</v>
      </c>
      <c r="N202">
        <v>0</v>
      </c>
      <c r="O202">
        <v>1</v>
      </c>
      <c r="P202">
        <v>43</v>
      </c>
      <c r="Q202">
        <v>13</v>
      </c>
    </row>
    <row r="203" spans="1:17" ht="15.75" customHeight="1" x14ac:dyDescent="0.35">
      <c r="A203">
        <v>2021</v>
      </c>
      <c r="B203" t="s">
        <v>13</v>
      </c>
      <c r="C203" t="s">
        <v>9</v>
      </c>
      <c r="D203">
        <v>4</v>
      </c>
      <c r="E203">
        <v>42</v>
      </c>
      <c r="F203">
        <v>46</v>
      </c>
      <c r="G203">
        <v>4</v>
      </c>
      <c r="H203" s="16">
        <v>166157300</v>
      </c>
      <c r="I203" s="11">
        <v>28046</v>
      </c>
      <c r="J203">
        <v>6</v>
      </c>
      <c r="K203" s="10">
        <v>0</v>
      </c>
      <c r="L203">
        <v>27</v>
      </c>
      <c r="M203">
        <v>1</v>
      </c>
      <c r="N203">
        <v>2</v>
      </c>
      <c r="O203">
        <v>1</v>
      </c>
      <c r="P203">
        <v>11</v>
      </c>
      <c r="Q203">
        <v>1</v>
      </c>
    </row>
    <row r="204" spans="1:17" ht="15.75" customHeight="1" x14ac:dyDescent="0.35">
      <c r="A204">
        <v>2021</v>
      </c>
      <c r="B204" t="s">
        <v>13</v>
      </c>
      <c r="C204" t="s">
        <v>10</v>
      </c>
      <c r="D204">
        <v>23</v>
      </c>
      <c r="E204">
        <v>94</v>
      </c>
      <c r="F204">
        <v>117</v>
      </c>
      <c r="G204">
        <v>13</v>
      </c>
      <c r="H204" s="16">
        <v>795637500</v>
      </c>
      <c r="I204" s="11">
        <v>101356</v>
      </c>
      <c r="J204">
        <v>0</v>
      </c>
      <c r="K204" s="10">
        <v>0</v>
      </c>
      <c r="L204">
        <v>72</v>
      </c>
      <c r="M204">
        <v>5</v>
      </c>
      <c r="N204">
        <v>0</v>
      </c>
      <c r="O204">
        <v>4</v>
      </c>
      <c r="P204">
        <v>37</v>
      </c>
      <c r="Q204">
        <v>0</v>
      </c>
    </row>
    <row r="205" spans="1:17" ht="15.75" customHeight="1" x14ac:dyDescent="0.35">
      <c r="A205">
        <v>2021</v>
      </c>
      <c r="B205" t="s">
        <v>13</v>
      </c>
      <c r="C205" t="s">
        <v>11</v>
      </c>
      <c r="D205">
        <v>11</v>
      </c>
      <c r="E205">
        <v>68</v>
      </c>
      <c r="F205">
        <v>79</v>
      </c>
      <c r="G205">
        <v>2</v>
      </c>
      <c r="H205" s="16">
        <v>82705000</v>
      </c>
      <c r="I205" s="11">
        <v>10702</v>
      </c>
      <c r="J205">
        <v>0</v>
      </c>
      <c r="K205" s="10">
        <v>0</v>
      </c>
      <c r="L205">
        <v>51</v>
      </c>
      <c r="M205">
        <v>1</v>
      </c>
      <c r="N205">
        <v>0</v>
      </c>
      <c r="O205">
        <v>1</v>
      </c>
      <c r="P205">
        <v>26</v>
      </c>
      <c r="Q205">
        <v>0</v>
      </c>
    </row>
    <row r="206" spans="1:17" ht="15.75" customHeight="1" x14ac:dyDescent="0.35">
      <c r="A206">
        <v>2021</v>
      </c>
      <c r="B206" t="s">
        <v>13</v>
      </c>
      <c r="C206" t="s">
        <v>12</v>
      </c>
      <c r="D206">
        <v>25</v>
      </c>
      <c r="E206">
        <v>58</v>
      </c>
      <c r="F206">
        <v>83</v>
      </c>
      <c r="G206">
        <v>7</v>
      </c>
      <c r="H206" s="16">
        <v>116085000</v>
      </c>
      <c r="I206" s="11">
        <v>13430</v>
      </c>
      <c r="J206">
        <v>7</v>
      </c>
      <c r="K206" s="10">
        <v>0</v>
      </c>
      <c r="L206">
        <v>58</v>
      </c>
      <c r="M206">
        <v>8</v>
      </c>
      <c r="N206">
        <v>0</v>
      </c>
      <c r="O206">
        <v>0</v>
      </c>
      <c r="P206">
        <v>10</v>
      </c>
      <c r="Q206">
        <v>0</v>
      </c>
    </row>
    <row r="207" spans="1:17" ht="15.75" customHeight="1" x14ac:dyDescent="0.35">
      <c r="A207">
        <v>2021</v>
      </c>
      <c r="B207" t="s">
        <v>14</v>
      </c>
      <c r="C207" t="s">
        <v>8</v>
      </c>
      <c r="D207">
        <v>55</v>
      </c>
      <c r="E207">
        <v>96</v>
      </c>
      <c r="F207">
        <v>151</v>
      </c>
      <c r="G207">
        <v>11</v>
      </c>
      <c r="H207" s="16">
        <v>238525600</v>
      </c>
      <c r="I207" s="11">
        <v>30166</v>
      </c>
      <c r="J207">
        <v>0</v>
      </c>
      <c r="K207" s="10">
        <v>0</v>
      </c>
      <c r="L207">
        <v>75</v>
      </c>
      <c r="M207">
        <v>20</v>
      </c>
      <c r="N207">
        <v>0</v>
      </c>
      <c r="O207">
        <v>3</v>
      </c>
      <c r="P207">
        <v>53</v>
      </c>
      <c r="Q207">
        <v>19</v>
      </c>
    </row>
    <row r="208" spans="1:17" ht="15.75" customHeight="1" x14ac:dyDescent="0.35">
      <c r="A208">
        <v>2021</v>
      </c>
      <c r="B208" t="s">
        <v>14</v>
      </c>
      <c r="C208" t="s">
        <v>9</v>
      </c>
      <c r="D208">
        <v>3</v>
      </c>
      <c r="E208">
        <v>24</v>
      </c>
      <c r="F208">
        <v>27</v>
      </c>
      <c r="G208">
        <v>4</v>
      </c>
      <c r="H208" s="16">
        <v>44617800</v>
      </c>
      <c r="I208" s="11">
        <v>6892</v>
      </c>
      <c r="J208">
        <v>2</v>
      </c>
      <c r="K208" s="10">
        <v>0</v>
      </c>
      <c r="L208">
        <v>14</v>
      </c>
      <c r="M208">
        <v>6</v>
      </c>
      <c r="N208">
        <v>0</v>
      </c>
      <c r="O208">
        <v>2</v>
      </c>
      <c r="P208">
        <v>3</v>
      </c>
      <c r="Q208">
        <v>7</v>
      </c>
    </row>
    <row r="209" spans="1:17" ht="15.75" customHeight="1" x14ac:dyDescent="0.35">
      <c r="A209">
        <v>2021</v>
      </c>
      <c r="B209" t="s">
        <v>14</v>
      </c>
      <c r="C209" t="s">
        <v>10</v>
      </c>
      <c r="D209">
        <v>4</v>
      </c>
      <c r="E209">
        <v>44</v>
      </c>
      <c r="F209">
        <v>48</v>
      </c>
      <c r="G209">
        <v>8</v>
      </c>
      <c r="H209" s="16">
        <v>98830800</v>
      </c>
      <c r="I209" s="11">
        <v>11136</v>
      </c>
      <c r="J209">
        <v>0</v>
      </c>
      <c r="K209" s="10">
        <v>0</v>
      </c>
      <c r="L209">
        <v>32</v>
      </c>
      <c r="M209">
        <v>7</v>
      </c>
      <c r="N209">
        <v>0</v>
      </c>
      <c r="O209">
        <v>0</v>
      </c>
      <c r="P209">
        <v>13</v>
      </c>
      <c r="Q209">
        <v>0</v>
      </c>
    </row>
    <row r="210" spans="1:17" ht="15.75" customHeight="1" x14ac:dyDescent="0.35">
      <c r="A210">
        <v>2021</v>
      </c>
      <c r="B210" t="s">
        <v>14</v>
      </c>
      <c r="C210" t="s">
        <v>11</v>
      </c>
      <c r="D210">
        <v>10</v>
      </c>
      <c r="E210">
        <v>69</v>
      </c>
      <c r="F210">
        <v>79</v>
      </c>
      <c r="G210">
        <v>6</v>
      </c>
      <c r="H210" s="16">
        <v>79111800</v>
      </c>
      <c r="I210" s="11">
        <v>9287</v>
      </c>
      <c r="J210">
        <v>0</v>
      </c>
      <c r="K210" s="10">
        <v>0</v>
      </c>
      <c r="L210">
        <v>50</v>
      </c>
      <c r="M210">
        <v>0</v>
      </c>
      <c r="N210">
        <v>0</v>
      </c>
      <c r="O210">
        <v>0</v>
      </c>
      <c r="P210">
        <v>26</v>
      </c>
      <c r="Q210">
        <v>0</v>
      </c>
    </row>
    <row r="211" spans="1:17" ht="15.75" customHeight="1" x14ac:dyDescent="0.35">
      <c r="A211">
        <v>2021</v>
      </c>
      <c r="B211" t="s">
        <v>14</v>
      </c>
      <c r="C211" t="s">
        <v>12</v>
      </c>
      <c r="D211">
        <v>95</v>
      </c>
      <c r="E211">
        <v>35</v>
      </c>
      <c r="F211">
        <v>130</v>
      </c>
      <c r="G211">
        <v>17</v>
      </c>
      <c r="H211" s="16">
        <v>125470800</v>
      </c>
      <c r="I211" s="11">
        <v>14161</v>
      </c>
      <c r="J211">
        <v>10</v>
      </c>
      <c r="K211" s="10">
        <v>0</v>
      </c>
      <c r="L211">
        <v>71</v>
      </c>
      <c r="M211">
        <v>21</v>
      </c>
      <c r="N211">
        <v>0</v>
      </c>
      <c r="O211">
        <v>0</v>
      </c>
      <c r="P211">
        <v>22</v>
      </c>
      <c r="Q211">
        <v>0</v>
      </c>
    </row>
    <row r="212" spans="1:17" ht="15.75" customHeight="1" x14ac:dyDescent="0.35">
      <c r="A212">
        <v>2021</v>
      </c>
      <c r="B212" t="s">
        <v>15</v>
      </c>
      <c r="C212" t="s">
        <v>8</v>
      </c>
      <c r="D212">
        <v>44</v>
      </c>
      <c r="E212">
        <v>76</v>
      </c>
      <c r="F212">
        <v>120</v>
      </c>
      <c r="G212">
        <v>9</v>
      </c>
      <c r="H212" s="16">
        <v>160583000</v>
      </c>
      <c r="I212" s="11">
        <v>24876</v>
      </c>
      <c r="J212">
        <v>0</v>
      </c>
      <c r="K212" s="10">
        <v>0</v>
      </c>
      <c r="L212">
        <v>66</v>
      </c>
      <c r="M212">
        <v>14</v>
      </c>
      <c r="N212">
        <v>1</v>
      </c>
      <c r="O212">
        <v>1</v>
      </c>
      <c r="P212">
        <v>38</v>
      </c>
      <c r="Q212">
        <v>17</v>
      </c>
    </row>
    <row r="213" spans="1:17" ht="15.75" customHeight="1" x14ac:dyDescent="0.35">
      <c r="A213">
        <v>2021</v>
      </c>
      <c r="B213" t="s">
        <v>15</v>
      </c>
      <c r="C213" t="s">
        <v>9</v>
      </c>
      <c r="D213">
        <v>6</v>
      </c>
      <c r="E213">
        <v>21</v>
      </c>
      <c r="F213">
        <v>27</v>
      </c>
      <c r="G213">
        <v>0</v>
      </c>
      <c r="H213" s="16">
        <v>31598400</v>
      </c>
      <c r="I213" s="11">
        <v>4420</v>
      </c>
      <c r="J213">
        <v>6</v>
      </c>
      <c r="K213" s="10">
        <v>0</v>
      </c>
      <c r="L213">
        <v>16</v>
      </c>
      <c r="M213">
        <v>1</v>
      </c>
      <c r="N213">
        <v>0</v>
      </c>
      <c r="O213">
        <v>0</v>
      </c>
      <c r="P213">
        <v>4</v>
      </c>
      <c r="Q213">
        <v>0</v>
      </c>
    </row>
    <row r="214" spans="1:17" ht="15.75" customHeight="1" x14ac:dyDescent="0.35">
      <c r="A214">
        <v>2021</v>
      </c>
      <c r="B214" t="s">
        <v>15</v>
      </c>
      <c r="C214" t="s">
        <v>10</v>
      </c>
      <c r="D214">
        <v>19</v>
      </c>
      <c r="E214">
        <v>43</v>
      </c>
      <c r="F214">
        <v>62</v>
      </c>
      <c r="G214">
        <v>4</v>
      </c>
      <c r="H214" s="16">
        <v>78426500</v>
      </c>
      <c r="I214" s="11">
        <v>9039</v>
      </c>
      <c r="J214">
        <v>0</v>
      </c>
      <c r="K214" s="10">
        <v>0</v>
      </c>
      <c r="L214">
        <v>45</v>
      </c>
      <c r="M214">
        <v>1</v>
      </c>
      <c r="N214">
        <v>0</v>
      </c>
      <c r="O214">
        <v>0</v>
      </c>
      <c r="P214">
        <v>22</v>
      </c>
      <c r="Q214">
        <v>0</v>
      </c>
    </row>
    <row r="215" spans="1:17" ht="15.75" customHeight="1" x14ac:dyDescent="0.35">
      <c r="A215">
        <v>2021</v>
      </c>
      <c r="B215" t="s">
        <v>15</v>
      </c>
      <c r="C215" t="s">
        <v>11</v>
      </c>
      <c r="D215">
        <v>3</v>
      </c>
      <c r="E215">
        <v>78</v>
      </c>
      <c r="F215">
        <v>81</v>
      </c>
      <c r="G215">
        <v>4</v>
      </c>
      <c r="H215" s="16">
        <v>89460600</v>
      </c>
      <c r="I215" s="11">
        <v>11004</v>
      </c>
      <c r="J215">
        <v>0</v>
      </c>
      <c r="K215" s="10">
        <v>0</v>
      </c>
      <c r="L215">
        <v>52</v>
      </c>
      <c r="M215">
        <v>1</v>
      </c>
      <c r="N215">
        <v>0</v>
      </c>
      <c r="O215">
        <v>1</v>
      </c>
      <c r="P215">
        <v>27</v>
      </c>
      <c r="Q215">
        <v>0</v>
      </c>
    </row>
    <row r="216" spans="1:17" ht="15.75" customHeight="1" x14ac:dyDescent="0.35">
      <c r="A216">
        <v>2021</v>
      </c>
      <c r="B216" t="s">
        <v>15</v>
      </c>
      <c r="C216" t="s">
        <v>12</v>
      </c>
      <c r="D216">
        <v>33</v>
      </c>
      <c r="E216">
        <v>57</v>
      </c>
      <c r="F216">
        <v>90</v>
      </c>
      <c r="G216">
        <v>5</v>
      </c>
      <c r="H216" s="16">
        <v>92581400</v>
      </c>
      <c r="I216" s="11">
        <v>10431</v>
      </c>
      <c r="J216">
        <v>4</v>
      </c>
      <c r="K216" s="10">
        <v>0</v>
      </c>
      <c r="L216">
        <v>55</v>
      </c>
      <c r="M216">
        <v>13</v>
      </c>
      <c r="N216">
        <v>0</v>
      </c>
      <c r="O216">
        <v>0</v>
      </c>
      <c r="P216">
        <v>18</v>
      </c>
      <c r="Q216">
        <v>0</v>
      </c>
    </row>
    <row r="217" spans="1:17" ht="15.75" customHeight="1" x14ac:dyDescent="0.35">
      <c r="A217">
        <v>2021</v>
      </c>
      <c r="B217" t="s">
        <v>16</v>
      </c>
      <c r="C217" t="s">
        <v>8</v>
      </c>
      <c r="D217">
        <v>62</v>
      </c>
      <c r="E217">
        <v>78</v>
      </c>
      <c r="F217">
        <v>140</v>
      </c>
      <c r="G217">
        <v>8</v>
      </c>
      <c r="H217" s="16">
        <v>143499600</v>
      </c>
      <c r="I217" s="6">
        <v>20882</v>
      </c>
      <c r="J217">
        <v>0</v>
      </c>
      <c r="K217" s="10">
        <v>0</v>
      </c>
      <c r="L217">
        <v>73</v>
      </c>
      <c r="M217">
        <v>13</v>
      </c>
      <c r="N217">
        <v>0</v>
      </c>
      <c r="O217">
        <v>1</v>
      </c>
      <c r="P217">
        <v>53</v>
      </c>
      <c r="Q217">
        <v>5</v>
      </c>
    </row>
    <row r="218" spans="1:17" ht="15.75" customHeight="1" x14ac:dyDescent="0.35">
      <c r="A218">
        <v>2021</v>
      </c>
      <c r="B218" t="s">
        <v>16</v>
      </c>
      <c r="C218" t="s">
        <v>9</v>
      </c>
      <c r="D218">
        <v>0</v>
      </c>
      <c r="E218">
        <v>29</v>
      </c>
      <c r="F218">
        <v>29</v>
      </c>
      <c r="G218">
        <v>2</v>
      </c>
      <c r="H218" s="16">
        <v>372723000</v>
      </c>
      <c r="I218" s="6">
        <v>44528</v>
      </c>
      <c r="J218">
        <v>1</v>
      </c>
      <c r="K218" s="10">
        <v>0</v>
      </c>
      <c r="L218">
        <v>17</v>
      </c>
      <c r="M218">
        <v>2</v>
      </c>
      <c r="N218">
        <v>0</v>
      </c>
      <c r="O218">
        <v>1</v>
      </c>
      <c r="P218">
        <v>8</v>
      </c>
      <c r="Q218">
        <v>6</v>
      </c>
    </row>
    <row r="219" spans="1:17" ht="15.75" customHeight="1" x14ac:dyDescent="0.35">
      <c r="A219">
        <v>2021</v>
      </c>
      <c r="B219" t="s">
        <v>16</v>
      </c>
      <c r="C219" t="s">
        <v>10</v>
      </c>
      <c r="D219">
        <v>26</v>
      </c>
      <c r="E219">
        <v>74</v>
      </c>
      <c r="F219">
        <v>100</v>
      </c>
      <c r="G219">
        <v>9</v>
      </c>
      <c r="H219" s="16">
        <v>248256700</v>
      </c>
      <c r="I219" s="6">
        <v>28551</v>
      </c>
      <c r="J219">
        <v>0</v>
      </c>
      <c r="K219" s="10">
        <v>0</v>
      </c>
      <c r="L219">
        <v>71</v>
      </c>
      <c r="M219">
        <v>8</v>
      </c>
      <c r="N219">
        <v>0</v>
      </c>
      <c r="O219">
        <v>0</v>
      </c>
      <c r="P219">
        <v>24</v>
      </c>
      <c r="Q219">
        <v>0</v>
      </c>
    </row>
    <row r="220" spans="1:17" ht="15.75" customHeight="1" x14ac:dyDescent="0.35">
      <c r="A220">
        <v>2021</v>
      </c>
      <c r="B220" t="s">
        <v>16</v>
      </c>
      <c r="C220" t="s">
        <v>11</v>
      </c>
      <c r="D220">
        <v>2</v>
      </c>
      <c r="E220">
        <v>39</v>
      </c>
      <c r="F220">
        <v>41</v>
      </c>
      <c r="G220">
        <v>7</v>
      </c>
      <c r="H220" s="16">
        <v>349399409</v>
      </c>
      <c r="I220" s="6">
        <v>57829</v>
      </c>
      <c r="J220">
        <v>0</v>
      </c>
      <c r="K220" s="10">
        <v>0</v>
      </c>
      <c r="L220">
        <v>61</v>
      </c>
      <c r="M220">
        <v>1</v>
      </c>
      <c r="N220">
        <v>1</v>
      </c>
      <c r="O220">
        <v>2</v>
      </c>
      <c r="P220">
        <v>24</v>
      </c>
      <c r="Q220">
        <v>0</v>
      </c>
    </row>
    <row r="221" spans="1:17" ht="15.75" customHeight="1" x14ac:dyDescent="0.35">
      <c r="A221">
        <v>2021</v>
      </c>
      <c r="B221" t="s">
        <v>16</v>
      </c>
      <c r="C221" t="s">
        <v>12</v>
      </c>
      <c r="D221">
        <v>31</v>
      </c>
      <c r="E221">
        <v>54</v>
      </c>
      <c r="F221">
        <v>85</v>
      </c>
      <c r="G221">
        <v>10</v>
      </c>
      <c r="H221" s="16">
        <v>128565900</v>
      </c>
      <c r="I221" s="6">
        <v>15189</v>
      </c>
      <c r="J221">
        <v>1</v>
      </c>
      <c r="K221" s="10">
        <v>0</v>
      </c>
      <c r="L221">
        <v>52</v>
      </c>
      <c r="M221">
        <v>8</v>
      </c>
      <c r="N221">
        <v>0</v>
      </c>
      <c r="O221">
        <v>0</v>
      </c>
      <c r="P221">
        <v>24</v>
      </c>
      <c r="Q221">
        <v>0</v>
      </c>
    </row>
    <row r="222" spans="1:17" ht="15.75" customHeight="1" x14ac:dyDescent="0.35">
      <c r="A222">
        <v>2021</v>
      </c>
      <c r="B222" t="s">
        <v>17</v>
      </c>
      <c r="C222" t="s">
        <v>8</v>
      </c>
      <c r="D222">
        <v>35</v>
      </c>
      <c r="E222">
        <v>36</v>
      </c>
      <c r="F222">
        <v>71</v>
      </c>
      <c r="G222">
        <v>3</v>
      </c>
      <c r="H222" s="16">
        <v>59525900</v>
      </c>
      <c r="I222" s="6">
        <v>7025</v>
      </c>
      <c r="J222">
        <v>0</v>
      </c>
      <c r="K222" s="10">
        <v>0</v>
      </c>
      <c r="L222">
        <v>37</v>
      </c>
      <c r="M222">
        <v>6</v>
      </c>
      <c r="N222">
        <v>0</v>
      </c>
      <c r="O222">
        <v>0</v>
      </c>
      <c r="P222">
        <v>28</v>
      </c>
      <c r="Q222">
        <v>12</v>
      </c>
    </row>
    <row r="223" spans="1:17" ht="15.75" customHeight="1" x14ac:dyDescent="0.35">
      <c r="A223">
        <v>2021</v>
      </c>
      <c r="B223" t="s">
        <v>17</v>
      </c>
      <c r="C223" t="s">
        <v>9</v>
      </c>
      <c r="D223">
        <v>8</v>
      </c>
      <c r="E223">
        <v>25</v>
      </c>
      <c r="F223">
        <v>33</v>
      </c>
      <c r="G223">
        <v>4</v>
      </c>
      <c r="H223" s="16">
        <v>270524200</v>
      </c>
      <c r="I223" s="6">
        <v>40404</v>
      </c>
      <c r="J223">
        <v>0</v>
      </c>
      <c r="K223" s="10">
        <v>0</v>
      </c>
      <c r="L223">
        <v>18</v>
      </c>
      <c r="M223">
        <v>2</v>
      </c>
      <c r="N223">
        <v>0</v>
      </c>
      <c r="O223">
        <v>3</v>
      </c>
      <c r="P223">
        <v>10</v>
      </c>
      <c r="Q223">
        <v>0</v>
      </c>
    </row>
    <row r="224" spans="1:17" ht="15.75" customHeight="1" x14ac:dyDescent="0.35">
      <c r="A224">
        <v>2021</v>
      </c>
      <c r="B224" t="s">
        <v>17</v>
      </c>
      <c r="C224" t="s">
        <v>10</v>
      </c>
      <c r="D224">
        <v>19</v>
      </c>
      <c r="E224">
        <v>92</v>
      </c>
      <c r="F224">
        <v>111</v>
      </c>
      <c r="G224">
        <v>14</v>
      </c>
      <c r="H224" s="16">
        <v>185756100</v>
      </c>
      <c r="I224" s="6">
        <v>21018</v>
      </c>
      <c r="J224">
        <v>0</v>
      </c>
      <c r="K224" s="10">
        <v>0</v>
      </c>
      <c r="L224">
        <v>72</v>
      </c>
      <c r="M224">
        <v>7</v>
      </c>
      <c r="N224">
        <v>1</v>
      </c>
      <c r="O224">
        <v>0</v>
      </c>
      <c r="P224">
        <v>38</v>
      </c>
      <c r="Q224">
        <v>0</v>
      </c>
    </row>
    <row r="225" spans="1:17" ht="15.75" customHeight="1" x14ac:dyDescent="0.35">
      <c r="A225">
        <v>2021</v>
      </c>
      <c r="B225" t="s">
        <v>17</v>
      </c>
      <c r="C225" t="s">
        <v>11</v>
      </c>
      <c r="D225">
        <v>3</v>
      </c>
      <c r="E225">
        <v>28</v>
      </c>
      <c r="F225">
        <v>31</v>
      </c>
      <c r="G225">
        <v>1</v>
      </c>
      <c r="H225" s="16">
        <v>27747600</v>
      </c>
      <c r="I225" s="6">
        <v>3132</v>
      </c>
      <c r="J225">
        <v>0</v>
      </c>
      <c r="K225" s="10">
        <v>0</v>
      </c>
      <c r="L225">
        <v>15</v>
      </c>
      <c r="M225">
        <v>0</v>
      </c>
      <c r="N225">
        <v>0</v>
      </c>
      <c r="O225">
        <v>0</v>
      </c>
      <c r="P225">
        <v>16</v>
      </c>
      <c r="Q225">
        <v>0</v>
      </c>
    </row>
    <row r="226" spans="1:17" ht="15.75" customHeight="1" x14ac:dyDescent="0.35">
      <c r="A226">
        <v>2021</v>
      </c>
      <c r="B226" t="s">
        <v>17</v>
      </c>
      <c r="C226" t="s">
        <v>12</v>
      </c>
      <c r="D226">
        <v>22</v>
      </c>
      <c r="E226">
        <v>35</v>
      </c>
      <c r="F226">
        <v>57</v>
      </c>
      <c r="G226">
        <v>6</v>
      </c>
      <c r="H226" s="16">
        <v>110807800</v>
      </c>
      <c r="I226" s="6">
        <v>15683</v>
      </c>
      <c r="J226">
        <v>0</v>
      </c>
      <c r="K226" s="10">
        <v>0</v>
      </c>
      <c r="L226">
        <v>36</v>
      </c>
      <c r="M226">
        <v>1</v>
      </c>
      <c r="N226">
        <v>2</v>
      </c>
      <c r="O226">
        <v>1</v>
      </c>
      <c r="P226">
        <v>17</v>
      </c>
      <c r="Q226">
        <v>0</v>
      </c>
    </row>
    <row r="227" spans="1:17" ht="15.75" customHeight="1" x14ac:dyDescent="0.35">
      <c r="A227">
        <v>2021</v>
      </c>
      <c r="B227" t="s">
        <v>18</v>
      </c>
      <c r="C227" t="s">
        <v>8</v>
      </c>
      <c r="D227">
        <v>48</v>
      </c>
      <c r="E227">
        <v>69</v>
      </c>
      <c r="F227">
        <v>117</v>
      </c>
      <c r="G227">
        <v>4</v>
      </c>
      <c r="H227" s="16">
        <v>132067400</v>
      </c>
      <c r="I227" s="6">
        <v>15100</v>
      </c>
      <c r="J227">
        <v>1</v>
      </c>
      <c r="K227" s="10">
        <v>0</v>
      </c>
      <c r="L227">
        <v>62</v>
      </c>
      <c r="M227">
        <v>7</v>
      </c>
      <c r="N227">
        <v>0</v>
      </c>
      <c r="O227">
        <v>0</v>
      </c>
      <c r="P227">
        <v>47</v>
      </c>
      <c r="Q227">
        <v>5</v>
      </c>
    </row>
    <row r="228" spans="1:17" ht="15.75" customHeight="1" x14ac:dyDescent="0.35">
      <c r="A228">
        <v>2021</v>
      </c>
      <c r="B228" t="s">
        <v>18</v>
      </c>
      <c r="C228" t="s">
        <v>9</v>
      </c>
      <c r="D228">
        <v>8</v>
      </c>
      <c r="E228">
        <v>38</v>
      </c>
      <c r="F228">
        <v>46</v>
      </c>
      <c r="G228">
        <v>5</v>
      </c>
      <c r="H228" s="16">
        <v>143851312</v>
      </c>
      <c r="I228" s="6">
        <v>15071</v>
      </c>
      <c r="J228">
        <v>2</v>
      </c>
      <c r="K228" s="10">
        <v>0</v>
      </c>
      <c r="L228">
        <v>29</v>
      </c>
      <c r="M228">
        <v>0</v>
      </c>
      <c r="N228">
        <v>2</v>
      </c>
      <c r="O228">
        <v>0</v>
      </c>
      <c r="P228">
        <v>13</v>
      </c>
      <c r="Q228">
        <v>17</v>
      </c>
    </row>
    <row r="229" spans="1:17" ht="15.75" customHeight="1" x14ac:dyDescent="0.35">
      <c r="A229">
        <v>2021</v>
      </c>
      <c r="B229" t="s">
        <v>18</v>
      </c>
      <c r="C229" t="s">
        <v>10</v>
      </c>
      <c r="D229">
        <v>18</v>
      </c>
      <c r="E229">
        <v>53</v>
      </c>
      <c r="F229">
        <v>71</v>
      </c>
      <c r="G229">
        <v>5</v>
      </c>
      <c r="H229" s="16">
        <v>84031400</v>
      </c>
      <c r="I229" s="6">
        <v>11082</v>
      </c>
      <c r="J229">
        <v>0</v>
      </c>
      <c r="K229" s="10">
        <v>0</v>
      </c>
      <c r="L229">
        <v>59</v>
      </c>
      <c r="M229">
        <v>1</v>
      </c>
      <c r="N229">
        <v>1</v>
      </c>
      <c r="O229">
        <v>0</v>
      </c>
      <c r="P229">
        <v>18</v>
      </c>
      <c r="Q229">
        <v>0</v>
      </c>
    </row>
    <row r="230" spans="1:17" ht="15.75" customHeight="1" x14ac:dyDescent="0.35">
      <c r="A230">
        <v>2021</v>
      </c>
      <c r="B230" t="s">
        <v>18</v>
      </c>
      <c r="C230" t="s">
        <v>11</v>
      </c>
      <c r="D230">
        <v>12</v>
      </c>
      <c r="E230">
        <v>63</v>
      </c>
      <c r="F230">
        <v>75</v>
      </c>
      <c r="G230">
        <v>6</v>
      </c>
      <c r="H230" s="16">
        <v>136467600</v>
      </c>
      <c r="I230" s="6">
        <v>13851</v>
      </c>
      <c r="J230">
        <v>0</v>
      </c>
      <c r="K230" s="10">
        <v>0</v>
      </c>
      <c r="L230">
        <v>49</v>
      </c>
      <c r="M230">
        <v>1</v>
      </c>
      <c r="N230">
        <v>0</v>
      </c>
      <c r="O230">
        <v>1</v>
      </c>
      <c r="P230">
        <v>24</v>
      </c>
      <c r="Q230">
        <v>0</v>
      </c>
    </row>
    <row r="231" spans="1:17" ht="15.75" customHeight="1" x14ac:dyDescent="0.35">
      <c r="A231">
        <v>2021</v>
      </c>
      <c r="B231" t="s">
        <v>18</v>
      </c>
      <c r="C231" t="s">
        <v>12</v>
      </c>
      <c r="D231">
        <v>24</v>
      </c>
      <c r="E231">
        <v>47</v>
      </c>
      <c r="F231">
        <v>71</v>
      </c>
      <c r="G231">
        <v>4</v>
      </c>
      <c r="H231" s="16">
        <v>102594800</v>
      </c>
      <c r="I231" s="6">
        <v>12136</v>
      </c>
      <c r="J231">
        <v>4</v>
      </c>
      <c r="K231" s="10">
        <v>0</v>
      </c>
      <c r="L231">
        <v>41</v>
      </c>
      <c r="M231">
        <v>3</v>
      </c>
      <c r="N231">
        <v>0</v>
      </c>
      <c r="O231">
        <v>2</v>
      </c>
      <c r="P231">
        <v>21</v>
      </c>
      <c r="Q231">
        <v>0</v>
      </c>
    </row>
    <row r="232" spans="1:17" ht="15.75" customHeight="1" x14ac:dyDescent="0.35">
      <c r="A232">
        <v>2021</v>
      </c>
      <c r="B232" t="s">
        <v>19</v>
      </c>
      <c r="C232" t="s">
        <v>8</v>
      </c>
      <c r="D232">
        <v>43</v>
      </c>
      <c r="E232">
        <v>71</v>
      </c>
      <c r="F232">
        <v>114</v>
      </c>
      <c r="G232">
        <v>5</v>
      </c>
      <c r="H232" s="16">
        <v>539147100</v>
      </c>
      <c r="I232" s="6">
        <v>63717</v>
      </c>
      <c r="J232">
        <v>0</v>
      </c>
      <c r="K232" s="10">
        <v>0</v>
      </c>
      <c r="L232">
        <v>63</v>
      </c>
      <c r="M232">
        <v>10</v>
      </c>
      <c r="N232">
        <v>0</v>
      </c>
      <c r="O232">
        <v>1</v>
      </c>
      <c r="P232">
        <v>40</v>
      </c>
      <c r="Q232">
        <v>9</v>
      </c>
    </row>
    <row r="233" spans="1:17" ht="15.75" customHeight="1" x14ac:dyDescent="0.35">
      <c r="A233">
        <v>2021</v>
      </c>
      <c r="B233" t="s">
        <v>19</v>
      </c>
      <c r="C233" t="s">
        <v>9</v>
      </c>
      <c r="D233">
        <v>14</v>
      </c>
      <c r="E233">
        <v>29</v>
      </c>
      <c r="F233">
        <v>43</v>
      </c>
      <c r="G233">
        <v>7</v>
      </c>
      <c r="H233" s="16">
        <v>137633300</v>
      </c>
      <c r="I233" s="6">
        <v>23130</v>
      </c>
      <c r="J233">
        <v>1</v>
      </c>
      <c r="K233" s="10">
        <v>0</v>
      </c>
      <c r="L233">
        <v>33</v>
      </c>
      <c r="M233">
        <v>1</v>
      </c>
      <c r="N233">
        <v>1</v>
      </c>
      <c r="O233">
        <v>2</v>
      </c>
      <c r="P233">
        <v>5</v>
      </c>
      <c r="Q233">
        <v>16</v>
      </c>
    </row>
    <row r="234" spans="1:17" ht="15.75" customHeight="1" x14ac:dyDescent="0.35">
      <c r="A234">
        <v>2021</v>
      </c>
      <c r="B234" t="s">
        <v>19</v>
      </c>
      <c r="C234" t="s">
        <v>10</v>
      </c>
      <c r="D234">
        <v>44</v>
      </c>
      <c r="E234">
        <v>95</v>
      </c>
      <c r="F234">
        <v>139</v>
      </c>
      <c r="G234">
        <v>14</v>
      </c>
      <c r="H234" s="16">
        <v>301639800</v>
      </c>
      <c r="I234" s="6">
        <v>37379</v>
      </c>
      <c r="J234">
        <v>0</v>
      </c>
      <c r="K234" s="10">
        <v>0</v>
      </c>
      <c r="L234">
        <v>110</v>
      </c>
      <c r="M234">
        <v>4</v>
      </c>
      <c r="N234">
        <v>0</v>
      </c>
      <c r="O234">
        <v>1</v>
      </c>
      <c r="P234">
        <v>37</v>
      </c>
      <c r="Q234">
        <v>0</v>
      </c>
    </row>
    <row r="235" spans="1:17" ht="15.75" customHeight="1" x14ac:dyDescent="0.35">
      <c r="A235">
        <v>2021</v>
      </c>
      <c r="B235" t="s">
        <v>19</v>
      </c>
      <c r="C235" t="s">
        <v>11</v>
      </c>
      <c r="D235">
        <v>6</v>
      </c>
      <c r="E235">
        <v>75</v>
      </c>
      <c r="F235">
        <v>81</v>
      </c>
      <c r="G235">
        <v>4</v>
      </c>
      <c r="H235" s="16">
        <v>79839600</v>
      </c>
      <c r="I235" s="6">
        <v>8908</v>
      </c>
      <c r="J235">
        <v>0</v>
      </c>
      <c r="K235" s="10">
        <v>0</v>
      </c>
      <c r="L235">
        <v>45</v>
      </c>
      <c r="M235">
        <v>0</v>
      </c>
      <c r="N235">
        <v>0</v>
      </c>
      <c r="O235">
        <v>0</v>
      </c>
      <c r="P235">
        <v>36</v>
      </c>
      <c r="Q235">
        <v>0</v>
      </c>
    </row>
    <row r="236" spans="1:17" ht="15.75" customHeight="1" x14ac:dyDescent="0.35">
      <c r="A236">
        <v>2021</v>
      </c>
      <c r="B236" t="s">
        <v>19</v>
      </c>
      <c r="C236" t="s">
        <v>12</v>
      </c>
      <c r="D236">
        <v>27</v>
      </c>
      <c r="E236">
        <v>49</v>
      </c>
      <c r="F236">
        <v>76</v>
      </c>
      <c r="G236">
        <v>6</v>
      </c>
      <c r="H236" s="16">
        <v>123789000</v>
      </c>
      <c r="I236" s="6">
        <v>16516</v>
      </c>
      <c r="J236">
        <v>0</v>
      </c>
      <c r="K236" s="10">
        <v>0</v>
      </c>
      <c r="L236">
        <v>45</v>
      </c>
      <c r="M236">
        <v>3</v>
      </c>
      <c r="N236">
        <v>0</v>
      </c>
      <c r="O236">
        <v>1</v>
      </c>
      <c r="P236">
        <v>28</v>
      </c>
      <c r="Q236">
        <v>0</v>
      </c>
    </row>
    <row r="237" spans="1:17" ht="15.75" customHeight="1" x14ac:dyDescent="0.35">
      <c r="A237">
        <v>2021</v>
      </c>
      <c r="B237" t="s">
        <v>20</v>
      </c>
      <c r="C237" t="s">
        <v>8</v>
      </c>
      <c r="D237">
        <v>38</v>
      </c>
      <c r="E237">
        <v>75</v>
      </c>
      <c r="F237">
        <v>113</v>
      </c>
      <c r="G237">
        <v>9</v>
      </c>
      <c r="H237" s="16">
        <v>267733700</v>
      </c>
      <c r="I237">
        <v>31197</v>
      </c>
      <c r="J237">
        <v>0</v>
      </c>
      <c r="K237" s="10">
        <v>0</v>
      </c>
      <c r="L237">
        <v>51</v>
      </c>
      <c r="M237">
        <v>9</v>
      </c>
      <c r="N237">
        <v>0</v>
      </c>
      <c r="O237">
        <v>0</v>
      </c>
      <c r="P237">
        <v>53</v>
      </c>
      <c r="Q237">
        <v>6</v>
      </c>
    </row>
    <row r="238" spans="1:17" ht="15.75" customHeight="1" x14ac:dyDescent="0.35">
      <c r="A238">
        <v>2021</v>
      </c>
      <c r="B238" t="s">
        <v>20</v>
      </c>
      <c r="C238" t="s">
        <v>9</v>
      </c>
      <c r="D238">
        <v>2</v>
      </c>
      <c r="E238">
        <v>38</v>
      </c>
      <c r="F238">
        <v>40</v>
      </c>
      <c r="G238">
        <v>0</v>
      </c>
      <c r="H238" s="16">
        <v>30624624</v>
      </c>
      <c r="I238">
        <v>3329</v>
      </c>
      <c r="J238">
        <v>5</v>
      </c>
      <c r="K238" s="10">
        <v>0</v>
      </c>
      <c r="L238">
        <v>30</v>
      </c>
      <c r="M238">
        <v>1</v>
      </c>
      <c r="N238">
        <v>0</v>
      </c>
      <c r="O238">
        <v>0</v>
      </c>
      <c r="P238">
        <v>4</v>
      </c>
      <c r="Q238">
        <v>11</v>
      </c>
    </row>
    <row r="239" spans="1:17" ht="15.75" customHeight="1" x14ac:dyDescent="0.35">
      <c r="A239">
        <v>2021</v>
      </c>
      <c r="B239" t="s">
        <v>20</v>
      </c>
      <c r="C239" t="s">
        <v>10</v>
      </c>
      <c r="D239">
        <v>70</v>
      </c>
      <c r="E239">
        <v>70</v>
      </c>
      <c r="F239">
        <v>140</v>
      </c>
      <c r="G239">
        <v>8</v>
      </c>
      <c r="H239" s="16">
        <v>497426200</v>
      </c>
      <c r="I239">
        <v>58150</v>
      </c>
      <c r="J239">
        <v>0</v>
      </c>
      <c r="K239" s="10">
        <v>0</v>
      </c>
      <c r="L239">
        <v>104</v>
      </c>
      <c r="M239">
        <v>7</v>
      </c>
      <c r="N239">
        <v>0</v>
      </c>
      <c r="O239">
        <v>0</v>
      </c>
      <c r="P239">
        <v>30</v>
      </c>
      <c r="Q239">
        <v>14</v>
      </c>
    </row>
    <row r="240" spans="1:17" ht="15.75" customHeight="1" x14ac:dyDescent="0.35">
      <c r="A240">
        <v>2021</v>
      </c>
      <c r="B240" t="s">
        <v>20</v>
      </c>
      <c r="C240" t="s">
        <v>11</v>
      </c>
      <c r="D240">
        <v>5</v>
      </c>
      <c r="E240">
        <v>59</v>
      </c>
      <c r="F240">
        <v>64</v>
      </c>
      <c r="G240">
        <v>3</v>
      </c>
      <c r="H240" s="16">
        <v>97894400</v>
      </c>
      <c r="I240">
        <v>11036</v>
      </c>
      <c r="J240">
        <v>0</v>
      </c>
      <c r="K240" s="10">
        <v>0</v>
      </c>
      <c r="L240">
        <v>34</v>
      </c>
      <c r="M240">
        <v>2</v>
      </c>
      <c r="N240">
        <v>0</v>
      </c>
      <c r="O240">
        <v>0</v>
      </c>
      <c r="P240">
        <v>28</v>
      </c>
      <c r="Q240">
        <v>0</v>
      </c>
    </row>
    <row r="241" spans="1:17" ht="15.75" customHeight="1" x14ac:dyDescent="0.35">
      <c r="A241">
        <v>2021</v>
      </c>
      <c r="B241" t="s">
        <v>20</v>
      </c>
      <c r="C241" t="s">
        <v>12</v>
      </c>
      <c r="D241">
        <v>24</v>
      </c>
      <c r="E241">
        <v>54</v>
      </c>
      <c r="F241">
        <v>78</v>
      </c>
      <c r="G241">
        <v>8</v>
      </c>
      <c r="H241" s="16">
        <v>1020865200</v>
      </c>
      <c r="I241">
        <v>196386</v>
      </c>
      <c r="J241">
        <v>4</v>
      </c>
      <c r="K241" s="10">
        <v>0</v>
      </c>
      <c r="L241">
        <v>50</v>
      </c>
      <c r="M241">
        <v>3</v>
      </c>
      <c r="N241">
        <v>0</v>
      </c>
      <c r="O241">
        <v>3</v>
      </c>
      <c r="P241">
        <v>18</v>
      </c>
      <c r="Q241">
        <v>0</v>
      </c>
    </row>
    <row r="242" spans="1:17" x14ac:dyDescent="0.35">
      <c r="A242">
        <v>2021</v>
      </c>
      <c r="B242" t="s">
        <v>21</v>
      </c>
      <c r="C242" t="s">
        <v>8</v>
      </c>
      <c r="D242">
        <v>20</v>
      </c>
      <c r="E242">
        <v>58</v>
      </c>
      <c r="F242">
        <v>78</v>
      </c>
      <c r="G242">
        <v>4</v>
      </c>
      <c r="H242" s="16">
        <v>94927100</v>
      </c>
      <c r="I242">
        <v>14337</v>
      </c>
      <c r="J242">
        <v>0</v>
      </c>
      <c r="K242" s="10">
        <v>0</v>
      </c>
      <c r="L242">
        <v>39</v>
      </c>
      <c r="M242">
        <v>3</v>
      </c>
      <c r="N242">
        <v>0</v>
      </c>
      <c r="O242">
        <v>1</v>
      </c>
      <c r="P242">
        <v>35</v>
      </c>
      <c r="Q242">
        <v>11</v>
      </c>
    </row>
    <row r="243" spans="1:17" x14ac:dyDescent="0.35">
      <c r="A243">
        <v>2021</v>
      </c>
      <c r="B243" t="s">
        <v>21</v>
      </c>
      <c r="C243" t="s">
        <v>9</v>
      </c>
      <c r="D243">
        <v>3</v>
      </c>
      <c r="E243">
        <v>30</v>
      </c>
      <c r="F243">
        <v>33</v>
      </c>
      <c r="G243">
        <v>3</v>
      </c>
      <c r="H243" s="16">
        <v>646358700</v>
      </c>
      <c r="I243">
        <v>77129</v>
      </c>
      <c r="J243">
        <v>1</v>
      </c>
      <c r="K243" s="10">
        <v>0</v>
      </c>
      <c r="L243">
        <v>25</v>
      </c>
      <c r="M243">
        <v>0</v>
      </c>
      <c r="N243">
        <v>0</v>
      </c>
      <c r="O243">
        <v>1</v>
      </c>
      <c r="P243">
        <v>6</v>
      </c>
      <c r="Q243">
        <v>0</v>
      </c>
    </row>
    <row r="244" spans="1:17" x14ac:dyDescent="0.35">
      <c r="A244">
        <v>2021</v>
      </c>
      <c r="B244" t="s">
        <v>21</v>
      </c>
      <c r="C244" t="s">
        <v>10</v>
      </c>
      <c r="D244">
        <v>18</v>
      </c>
      <c r="E244">
        <v>36</v>
      </c>
      <c r="F244">
        <v>54</v>
      </c>
      <c r="G244">
        <v>4</v>
      </c>
      <c r="H244" s="16">
        <v>71526000</v>
      </c>
      <c r="I244">
        <v>8253</v>
      </c>
      <c r="J244">
        <v>0</v>
      </c>
      <c r="K244" s="10">
        <v>0</v>
      </c>
      <c r="L244">
        <v>41</v>
      </c>
      <c r="M244">
        <v>3</v>
      </c>
      <c r="N244">
        <v>0</v>
      </c>
      <c r="O244">
        <v>0</v>
      </c>
      <c r="P244">
        <v>10</v>
      </c>
      <c r="Q244">
        <v>0</v>
      </c>
    </row>
    <row r="245" spans="1:17" x14ac:dyDescent="0.35">
      <c r="A245">
        <v>2021</v>
      </c>
      <c r="B245" t="s">
        <v>21</v>
      </c>
      <c r="C245" t="s">
        <v>11</v>
      </c>
      <c r="D245">
        <v>9</v>
      </c>
      <c r="E245">
        <v>47</v>
      </c>
      <c r="F245">
        <v>56</v>
      </c>
      <c r="G245">
        <v>2</v>
      </c>
      <c r="H245" s="16">
        <v>61796000</v>
      </c>
      <c r="I245">
        <v>6921</v>
      </c>
      <c r="J245">
        <v>0</v>
      </c>
      <c r="K245" s="10">
        <v>0</v>
      </c>
      <c r="L245">
        <v>42</v>
      </c>
      <c r="M245">
        <v>0</v>
      </c>
      <c r="N245">
        <v>0</v>
      </c>
      <c r="O245">
        <v>0</v>
      </c>
      <c r="P245">
        <v>14</v>
      </c>
      <c r="Q245">
        <v>0</v>
      </c>
    </row>
    <row r="246" spans="1:17" ht="15.75" customHeight="1" x14ac:dyDescent="0.35">
      <c r="A246">
        <v>2021</v>
      </c>
      <c r="B246" t="s">
        <v>21</v>
      </c>
      <c r="C246" t="s">
        <v>12</v>
      </c>
      <c r="D246">
        <v>25</v>
      </c>
      <c r="E246">
        <v>35</v>
      </c>
      <c r="F246">
        <v>60</v>
      </c>
      <c r="G246">
        <v>3</v>
      </c>
      <c r="H246" s="16">
        <v>58340600</v>
      </c>
      <c r="I246">
        <v>7999</v>
      </c>
      <c r="J246">
        <v>7</v>
      </c>
      <c r="K246" s="10">
        <v>0</v>
      </c>
      <c r="L246">
        <v>26</v>
      </c>
      <c r="M246">
        <v>1</v>
      </c>
      <c r="N246">
        <v>0</v>
      </c>
      <c r="O246">
        <v>1</v>
      </c>
      <c r="P246">
        <v>25</v>
      </c>
      <c r="Q246">
        <v>0</v>
      </c>
    </row>
    <row r="247" spans="1:17" x14ac:dyDescent="0.35">
      <c r="A247">
        <v>2020</v>
      </c>
      <c r="B247" t="s">
        <v>7</v>
      </c>
      <c r="C247" t="s">
        <v>8</v>
      </c>
      <c r="D247">
        <v>59</v>
      </c>
      <c r="E247">
        <v>85</v>
      </c>
      <c r="F247">
        <v>144</v>
      </c>
      <c r="G247">
        <v>11</v>
      </c>
      <c r="H247" s="16">
        <v>136601700</v>
      </c>
      <c r="I247">
        <v>18773</v>
      </c>
      <c r="J247">
        <v>3</v>
      </c>
      <c r="K247" s="10">
        <v>0</v>
      </c>
      <c r="L247">
        <v>68</v>
      </c>
      <c r="M247">
        <v>13</v>
      </c>
      <c r="N247">
        <v>1</v>
      </c>
      <c r="O247">
        <v>1</v>
      </c>
      <c r="P247">
        <v>58</v>
      </c>
      <c r="Q247">
        <v>9</v>
      </c>
    </row>
    <row r="248" spans="1:17" x14ac:dyDescent="0.35">
      <c r="A248">
        <v>2020</v>
      </c>
      <c r="B248" t="s">
        <v>7</v>
      </c>
      <c r="C248" t="s">
        <v>9</v>
      </c>
      <c r="D248">
        <v>9</v>
      </c>
      <c r="E248">
        <v>40</v>
      </c>
      <c r="F248">
        <v>49</v>
      </c>
      <c r="G248">
        <v>4</v>
      </c>
      <c r="H248" s="17">
        <v>86470200</v>
      </c>
      <c r="I248">
        <v>6736</v>
      </c>
      <c r="J248">
        <v>6</v>
      </c>
      <c r="K248" s="10">
        <v>0</v>
      </c>
      <c r="L248">
        <v>32</v>
      </c>
      <c r="M248">
        <v>1</v>
      </c>
      <c r="N248">
        <v>1</v>
      </c>
      <c r="O248">
        <v>1</v>
      </c>
      <c r="P248">
        <v>8</v>
      </c>
      <c r="Q248">
        <v>6</v>
      </c>
    </row>
    <row r="249" spans="1:17" x14ac:dyDescent="0.35">
      <c r="A249">
        <v>2020</v>
      </c>
      <c r="B249" t="s">
        <v>7</v>
      </c>
      <c r="C249" t="s">
        <v>10</v>
      </c>
      <c r="D249">
        <v>39</v>
      </c>
      <c r="E249">
        <v>47</v>
      </c>
      <c r="F249">
        <v>86</v>
      </c>
      <c r="G249">
        <v>4</v>
      </c>
      <c r="H249" s="17">
        <v>368910290</v>
      </c>
      <c r="I249">
        <v>43253</v>
      </c>
      <c r="J249">
        <v>0</v>
      </c>
      <c r="K249" s="10">
        <v>0</v>
      </c>
      <c r="L249">
        <v>62</v>
      </c>
      <c r="M249">
        <v>1</v>
      </c>
      <c r="N249">
        <v>0</v>
      </c>
      <c r="O249">
        <v>0</v>
      </c>
      <c r="P249">
        <v>24</v>
      </c>
      <c r="Q249">
        <v>1</v>
      </c>
    </row>
    <row r="250" spans="1:17" x14ac:dyDescent="0.35">
      <c r="A250">
        <v>2020</v>
      </c>
      <c r="B250" t="s">
        <v>7</v>
      </c>
      <c r="C250" t="s">
        <v>11</v>
      </c>
      <c r="D250">
        <v>1</v>
      </c>
      <c r="E250">
        <v>36</v>
      </c>
      <c r="F250">
        <v>37</v>
      </c>
      <c r="G250">
        <v>1</v>
      </c>
      <c r="H250" s="17">
        <v>44996200</v>
      </c>
      <c r="I250">
        <v>4917</v>
      </c>
      <c r="J250">
        <v>0</v>
      </c>
      <c r="K250" s="10">
        <v>0</v>
      </c>
      <c r="L250">
        <v>24</v>
      </c>
      <c r="M250">
        <v>0</v>
      </c>
      <c r="N250">
        <v>0</v>
      </c>
      <c r="O250">
        <v>0</v>
      </c>
      <c r="P250">
        <v>13</v>
      </c>
      <c r="Q250">
        <v>0</v>
      </c>
    </row>
    <row r="251" spans="1:17" ht="15.75" customHeight="1" x14ac:dyDescent="0.35">
      <c r="A251">
        <v>2020</v>
      </c>
      <c r="B251" t="s">
        <v>7</v>
      </c>
      <c r="C251" t="s">
        <v>12</v>
      </c>
      <c r="D251">
        <v>34</v>
      </c>
      <c r="E251">
        <v>47</v>
      </c>
      <c r="F251">
        <v>81</v>
      </c>
      <c r="G251">
        <v>9</v>
      </c>
      <c r="H251" s="17">
        <v>193348000</v>
      </c>
      <c r="I251">
        <v>22175</v>
      </c>
      <c r="J251">
        <v>1</v>
      </c>
      <c r="K251" s="10">
        <v>0</v>
      </c>
      <c r="L251">
        <v>49</v>
      </c>
      <c r="M251">
        <v>6</v>
      </c>
      <c r="N251">
        <v>0</v>
      </c>
      <c r="O251">
        <v>0</v>
      </c>
      <c r="P251">
        <v>25</v>
      </c>
      <c r="Q251">
        <v>0</v>
      </c>
    </row>
    <row r="252" spans="1:17" x14ac:dyDescent="0.35">
      <c r="A252">
        <v>2020</v>
      </c>
      <c r="B252" t="s">
        <v>27</v>
      </c>
      <c r="C252" t="s">
        <v>8</v>
      </c>
      <c r="D252">
        <v>52</v>
      </c>
      <c r="E252">
        <v>75</v>
      </c>
      <c r="F252">
        <v>127</v>
      </c>
      <c r="G252">
        <v>8</v>
      </c>
      <c r="H252" s="17">
        <v>325774243</v>
      </c>
      <c r="I252" s="5">
        <v>36910.21</v>
      </c>
      <c r="J252">
        <v>0</v>
      </c>
      <c r="K252" s="10">
        <v>0</v>
      </c>
      <c r="L252">
        <v>57</v>
      </c>
      <c r="M252">
        <v>14</v>
      </c>
      <c r="N252">
        <v>0</v>
      </c>
      <c r="O252">
        <v>0</v>
      </c>
      <c r="P252">
        <v>56</v>
      </c>
      <c r="Q252">
        <v>17</v>
      </c>
    </row>
    <row r="253" spans="1:17" x14ac:dyDescent="0.35">
      <c r="A253">
        <v>2020</v>
      </c>
      <c r="B253" t="s">
        <v>27</v>
      </c>
      <c r="C253" t="s">
        <v>9</v>
      </c>
      <c r="D253">
        <v>6</v>
      </c>
      <c r="E253">
        <v>27</v>
      </c>
      <c r="F253">
        <v>33</v>
      </c>
      <c r="G253">
        <v>4</v>
      </c>
      <c r="H253" s="17">
        <v>123830900</v>
      </c>
      <c r="I253">
        <v>11173</v>
      </c>
      <c r="J253">
        <v>2</v>
      </c>
      <c r="K253" s="10">
        <v>0</v>
      </c>
      <c r="L253">
        <v>19</v>
      </c>
      <c r="M253">
        <v>3</v>
      </c>
      <c r="N253">
        <v>1</v>
      </c>
      <c r="O253">
        <v>1</v>
      </c>
      <c r="P253">
        <v>7</v>
      </c>
      <c r="Q253">
        <v>0</v>
      </c>
    </row>
    <row r="254" spans="1:17" x14ac:dyDescent="0.35">
      <c r="A254">
        <v>2020</v>
      </c>
      <c r="B254" t="s">
        <v>27</v>
      </c>
      <c r="C254" t="s">
        <v>10</v>
      </c>
      <c r="D254">
        <v>43</v>
      </c>
      <c r="E254">
        <v>52</v>
      </c>
      <c r="F254">
        <v>95</v>
      </c>
      <c r="G254">
        <v>8</v>
      </c>
      <c r="H254" s="17">
        <v>724885100</v>
      </c>
      <c r="I254">
        <v>134014</v>
      </c>
      <c r="J254">
        <v>0</v>
      </c>
      <c r="K254" s="10">
        <v>0</v>
      </c>
      <c r="L254">
        <v>63</v>
      </c>
      <c r="M254">
        <v>5</v>
      </c>
      <c r="N254">
        <v>0</v>
      </c>
      <c r="O254">
        <v>3</v>
      </c>
      <c r="P254">
        <v>27</v>
      </c>
      <c r="Q254">
        <v>0</v>
      </c>
    </row>
    <row r="255" spans="1:17" x14ac:dyDescent="0.35">
      <c r="A255">
        <v>2020</v>
      </c>
      <c r="B255" t="s">
        <v>27</v>
      </c>
      <c r="C255" t="s">
        <v>11</v>
      </c>
      <c r="D255">
        <v>4</v>
      </c>
      <c r="E255">
        <v>79</v>
      </c>
      <c r="F255">
        <v>83</v>
      </c>
      <c r="G255">
        <v>3</v>
      </c>
      <c r="H255" s="17">
        <v>77246401</v>
      </c>
      <c r="I255">
        <v>8647</v>
      </c>
      <c r="J255">
        <v>0</v>
      </c>
      <c r="K255" s="10">
        <v>0</v>
      </c>
      <c r="L255">
        <v>50</v>
      </c>
      <c r="M255">
        <v>1</v>
      </c>
      <c r="N255">
        <v>0</v>
      </c>
      <c r="O255">
        <v>1</v>
      </c>
      <c r="P255">
        <v>31</v>
      </c>
      <c r="Q255">
        <v>0</v>
      </c>
    </row>
    <row r="256" spans="1:17" ht="15.75" customHeight="1" x14ac:dyDescent="0.35">
      <c r="A256">
        <v>2020</v>
      </c>
      <c r="B256" t="s">
        <v>27</v>
      </c>
      <c r="C256" t="s">
        <v>12</v>
      </c>
      <c r="D256">
        <v>36</v>
      </c>
      <c r="E256">
        <v>62</v>
      </c>
      <c r="F256">
        <v>98</v>
      </c>
      <c r="G256">
        <v>10</v>
      </c>
      <c r="H256" s="17">
        <v>164702680</v>
      </c>
      <c r="I256">
        <v>17653.8</v>
      </c>
      <c r="J256">
        <v>2</v>
      </c>
      <c r="K256" s="10">
        <v>0</v>
      </c>
      <c r="L256">
        <v>65</v>
      </c>
      <c r="M256">
        <v>6</v>
      </c>
      <c r="N256">
        <v>0</v>
      </c>
      <c r="O256">
        <v>0</v>
      </c>
      <c r="P256">
        <v>25</v>
      </c>
      <c r="Q256">
        <v>0</v>
      </c>
    </row>
    <row r="257" spans="1:17" x14ac:dyDescent="0.35">
      <c r="A257">
        <v>2020</v>
      </c>
      <c r="B257" t="s">
        <v>26</v>
      </c>
      <c r="C257" t="s">
        <v>8</v>
      </c>
      <c r="D257">
        <v>101</v>
      </c>
      <c r="E257">
        <v>109</v>
      </c>
      <c r="F257">
        <v>210</v>
      </c>
      <c r="G257">
        <v>11</v>
      </c>
      <c r="H257" s="17">
        <v>317982600</v>
      </c>
      <c r="I257">
        <v>36504</v>
      </c>
      <c r="J257">
        <v>21</v>
      </c>
      <c r="K257" s="10">
        <v>0</v>
      </c>
      <c r="L257">
        <v>118</v>
      </c>
      <c r="M257">
        <v>4</v>
      </c>
      <c r="N257">
        <v>0</v>
      </c>
      <c r="O257">
        <v>0</v>
      </c>
      <c r="P257">
        <v>67</v>
      </c>
      <c r="Q257">
        <v>14</v>
      </c>
    </row>
    <row r="258" spans="1:17" x14ac:dyDescent="0.35">
      <c r="A258">
        <v>2020</v>
      </c>
      <c r="B258" t="s">
        <v>26</v>
      </c>
      <c r="C258" t="s">
        <v>9</v>
      </c>
      <c r="D258">
        <v>2</v>
      </c>
      <c r="E258">
        <v>50</v>
      </c>
      <c r="F258">
        <v>52</v>
      </c>
      <c r="G258">
        <v>2</v>
      </c>
      <c r="H258" s="17">
        <v>55214600</v>
      </c>
      <c r="I258">
        <v>10298</v>
      </c>
      <c r="J258">
        <v>5</v>
      </c>
      <c r="K258" s="10">
        <v>0</v>
      </c>
      <c r="L258">
        <v>39</v>
      </c>
      <c r="M258">
        <v>0</v>
      </c>
      <c r="N258">
        <v>2</v>
      </c>
      <c r="O258">
        <v>1</v>
      </c>
      <c r="P258">
        <v>5</v>
      </c>
      <c r="Q258">
        <v>1</v>
      </c>
    </row>
    <row r="259" spans="1:17" x14ac:dyDescent="0.35">
      <c r="A259">
        <v>2020</v>
      </c>
      <c r="B259" t="s">
        <v>26</v>
      </c>
      <c r="C259" t="s">
        <v>10</v>
      </c>
      <c r="D259">
        <v>39</v>
      </c>
      <c r="E259">
        <v>45</v>
      </c>
      <c r="F259">
        <v>84</v>
      </c>
      <c r="G259">
        <v>8</v>
      </c>
      <c r="H259" s="17">
        <v>322303800</v>
      </c>
      <c r="I259">
        <v>44954</v>
      </c>
      <c r="J259">
        <v>0</v>
      </c>
      <c r="K259" s="10">
        <v>0</v>
      </c>
      <c r="L259">
        <v>64</v>
      </c>
      <c r="M259">
        <v>6</v>
      </c>
      <c r="N259">
        <v>0</v>
      </c>
      <c r="O259">
        <v>1</v>
      </c>
      <c r="P259">
        <v>19</v>
      </c>
      <c r="Q259">
        <v>0</v>
      </c>
    </row>
    <row r="260" spans="1:17" x14ac:dyDescent="0.35">
      <c r="A260">
        <v>2020</v>
      </c>
      <c r="B260" t="s">
        <v>26</v>
      </c>
      <c r="C260" t="s">
        <v>11</v>
      </c>
      <c r="D260">
        <v>22</v>
      </c>
      <c r="E260">
        <v>100</v>
      </c>
      <c r="F260">
        <v>122</v>
      </c>
      <c r="G260">
        <v>5</v>
      </c>
      <c r="H260" s="17">
        <v>130042600</v>
      </c>
      <c r="I260">
        <v>14352</v>
      </c>
      <c r="J260">
        <v>0</v>
      </c>
      <c r="K260" s="10">
        <v>0</v>
      </c>
      <c r="L260">
        <v>77</v>
      </c>
      <c r="M260">
        <v>2</v>
      </c>
      <c r="N260">
        <v>1</v>
      </c>
      <c r="O260">
        <v>0</v>
      </c>
      <c r="P260">
        <v>42</v>
      </c>
      <c r="Q260">
        <v>0</v>
      </c>
    </row>
    <row r="261" spans="1:17" ht="15.75" customHeight="1" x14ac:dyDescent="0.35">
      <c r="A261">
        <v>2020</v>
      </c>
      <c r="B261" t="s">
        <v>26</v>
      </c>
      <c r="C261" t="s">
        <v>12</v>
      </c>
      <c r="D261">
        <v>29</v>
      </c>
      <c r="E261">
        <v>42</v>
      </c>
      <c r="F261">
        <v>71</v>
      </c>
      <c r="G261">
        <v>3</v>
      </c>
      <c r="H261" s="17">
        <v>131139202</v>
      </c>
      <c r="I261">
        <v>14487</v>
      </c>
      <c r="J261">
        <v>0</v>
      </c>
      <c r="K261" s="10">
        <v>0</v>
      </c>
      <c r="L261">
        <v>42</v>
      </c>
      <c r="M261">
        <v>3</v>
      </c>
      <c r="N261">
        <v>1</v>
      </c>
      <c r="O261">
        <v>0</v>
      </c>
      <c r="P261">
        <v>25</v>
      </c>
      <c r="Q261">
        <v>0</v>
      </c>
    </row>
    <row r="262" spans="1:17" x14ac:dyDescent="0.35">
      <c r="A262">
        <v>2020</v>
      </c>
      <c r="B262" t="s">
        <v>13</v>
      </c>
      <c r="C262" t="s">
        <v>8</v>
      </c>
      <c r="D262">
        <v>56</v>
      </c>
      <c r="E262">
        <v>73</v>
      </c>
      <c r="F262">
        <v>129</v>
      </c>
      <c r="G262">
        <v>7</v>
      </c>
      <c r="H262" s="17">
        <v>146826390</v>
      </c>
      <c r="I262">
        <v>15756</v>
      </c>
      <c r="J262">
        <v>0</v>
      </c>
      <c r="K262" s="10">
        <v>0</v>
      </c>
      <c r="L262">
        <v>72</v>
      </c>
      <c r="M262">
        <v>4</v>
      </c>
      <c r="N262">
        <v>0</v>
      </c>
      <c r="O262">
        <v>0</v>
      </c>
      <c r="P262">
        <v>53</v>
      </c>
      <c r="Q262">
        <v>6</v>
      </c>
    </row>
    <row r="263" spans="1:17" x14ac:dyDescent="0.35">
      <c r="A263">
        <v>2020</v>
      </c>
      <c r="B263" t="s">
        <v>13</v>
      </c>
      <c r="C263" t="s">
        <v>9</v>
      </c>
      <c r="D263">
        <v>2</v>
      </c>
      <c r="E263">
        <v>22</v>
      </c>
      <c r="F263">
        <v>24</v>
      </c>
      <c r="G263">
        <v>2</v>
      </c>
      <c r="H263" s="17">
        <v>80154900</v>
      </c>
      <c r="I263">
        <v>9285</v>
      </c>
      <c r="J263">
        <v>0</v>
      </c>
      <c r="K263" s="10">
        <v>0</v>
      </c>
      <c r="L263">
        <v>16</v>
      </c>
      <c r="M263">
        <v>2</v>
      </c>
      <c r="N263">
        <v>0</v>
      </c>
      <c r="O263">
        <v>0</v>
      </c>
      <c r="P263">
        <v>6</v>
      </c>
      <c r="Q263">
        <v>2</v>
      </c>
    </row>
    <row r="264" spans="1:17" x14ac:dyDescent="0.35">
      <c r="A264">
        <v>2020</v>
      </c>
      <c r="B264" t="s">
        <v>13</v>
      </c>
      <c r="C264" t="s">
        <v>10</v>
      </c>
      <c r="D264">
        <v>15</v>
      </c>
      <c r="E264">
        <v>21</v>
      </c>
      <c r="F264">
        <v>36</v>
      </c>
      <c r="G264">
        <v>23</v>
      </c>
      <c r="H264" s="17">
        <v>489822000</v>
      </c>
      <c r="I264">
        <v>58141</v>
      </c>
      <c r="J264">
        <v>0</v>
      </c>
      <c r="K264" s="10">
        <v>0</v>
      </c>
      <c r="L264">
        <v>33</v>
      </c>
      <c r="M264">
        <v>1</v>
      </c>
      <c r="N264">
        <v>0</v>
      </c>
      <c r="O264">
        <v>0</v>
      </c>
      <c r="P264">
        <v>7</v>
      </c>
      <c r="Q264">
        <v>0</v>
      </c>
    </row>
    <row r="265" spans="1:17" x14ac:dyDescent="0.35">
      <c r="A265">
        <v>2020</v>
      </c>
      <c r="B265" t="s">
        <v>13</v>
      </c>
      <c r="C265" t="s">
        <v>11</v>
      </c>
      <c r="D265">
        <v>5</v>
      </c>
      <c r="E265">
        <v>59</v>
      </c>
      <c r="F265">
        <v>64</v>
      </c>
      <c r="G265">
        <v>2</v>
      </c>
      <c r="H265" s="17">
        <v>50520600</v>
      </c>
      <c r="I265">
        <v>4935</v>
      </c>
      <c r="J265">
        <v>0</v>
      </c>
      <c r="K265" s="10">
        <v>0</v>
      </c>
      <c r="L265">
        <v>34</v>
      </c>
      <c r="M265">
        <v>0</v>
      </c>
      <c r="N265">
        <v>0</v>
      </c>
      <c r="O265">
        <v>0</v>
      </c>
      <c r="P265">
        <v>30</v>
      </c>
      <c r="Q265">
        <v>0</v>
      </c>
    </row>
    <row r="266" spans="1:17" ht="16.5" customHeight="1" x14ac:dyDescent="0.35">
      <c r="A266">
        <v>2020</v>
      </c>
      <c r="B266" t="s">
        <v>13</v>
      </c>
      <c r="C266" t="s">
        <v>12</v>
      </c>
      <c r="D266">
        <v>31</v>
      </c>
      <c r="E266">
        <v>43</v>
      </c>
      <c r="F266">
        <v>74</v>
      </c>
      <c r="G266">
        <v>4</v>
      </c>
      <c r="H266" s="17">
        <v>89558008</v>
      </c>
      <c r="I266">
        <v>10684</v>
      </c>
      <c r="J266">
        <v>1</v>
      </c>
      <c r="K266" s="10">
        <v>0</v>
      </c>
      <c r="L266">
        <v>38</v>
      </c>
      <c r="M266">
        <v>13</v>
      </c>
      <c r="N266">
        <v>0</v>
      </c>
      <c r="O266">
        <v>1</v>
      </c>
      <c r="P266">
        <v>2</v>
      </c>
      <c r="Q266">
        <v>0</v>
      </c>
    </row>
    <row r="267" spans="1:17" x14ac:dyDescent="0.35">
      <c r="A267">
        <v>2020</v>
      </c>
      <c r="B267" t="s">
        <v>14</v>
      </c>
      <c r="C267" t="s">
        <v>8</v>
      </c>
      <c r="D267">
        <v>19</v>
      </c>
      <c r="E267">
        <v>63</v>
      </c>
      <c r="F267">
        <v>82</v>
      </c>
      <c r="G267">
        <v>9</v>
      </c>
      <c r="H267" s="17">
        <v>310594000</v>
      </c>
      <c r="I267">
        <v>36234</v>
      </c>
      <c r="J267">
        <v>0</v>
      </c>
      <c r="K267" s="10">
        <v>0</v>
      </c>
      <c r="L267">
        <v>59</v>
      </c>
      <c r="M267">
        <v>4</v>
      </c>
      <c r="N267">
        <v>0</v>
      </c>
      <c r="O267">
        <v>0</v>
      </c>
      <c r="P267">
        <v>19</v>
      </c>
      <c r="Q267">
        <v>7</v>
      </c>
    </row>
    <row r="268" spans="1:17" x14ac:dyDescent="0.35">
      <c r="A268">
        <v>2020</v>
      </c>
      <c r="B268" t="s">
        <v>14</v>
      </c>
      <c r="C268" t="s">
        <v>9</v>
      </c>
      <c r="D268">
        <v>2</v>
      </c>
      <c r="E268">
        <v>9</v>
      </c>
      <c r="F268">
        <v>11</v>
      </c>
      <c r="G268">
        <v>2</v>
      </c>
      <c r="H268" s="17">
        <v>96595100</v>
      </c>
      <c r="I268">
        <v>11123</v>
      </c>
      <c r="J268">
        <v>3</v>
      </c>
      <c r="K268" s="10">
        <v>0</v>
      </c>
      <c r="L268">
        <v>4</v>
      </c>
      <c r="M268">
        <v>2</v>
      </c>
      <c r="N268">
        <v>0</v>
      </c>
      <c r="O268">
        <v>0</v>
      </c>
      <c r="P268">
        <v>0</v>
      </c>
      <c r="Q268">
        <v>0</v>
      </c>
    </row>
    <row r="269" spans="1:17" x14ac:dyDescent="0.35">
      <c r="A269">
        <v>2020</v>
      </c>
      <c r="B269" t="s">
        <v>14</v>
      </c>
      <c r="C269" t="s">
        <v>10</v>
      </c>
      <c r="D269">
        <v>18</v>
      </c>
      <c r="E269">
        <v>22</v>
      </c>
      <c r="F269">
        <v>40</v>
      </c>
      <c r="G269">
        <v>1</v>
      </c>
      <c r="H269" s="17">
        <v>34781502</v>
      </c>
      <c r="I269">
        <v>3941</v>
      </c>
      <c r="J269">
        <v>0</v>
      </c>
      <c r="K269" s="10">
        <v>0</v>
      </c>
      <c r="L269">
        <v>33</v>
      </c>
      <c r="M269">
        <v>1</v>
      </c>
      <c r="N269">
        <v>0</v>
      </c>
      <c r="O269">
        <v>0</v>
      </c>
      <c r="P269">
        <v>12</v>
      </c>
      <c r="Q269">
        <v>0</v>
      </c>
    </row>
    <row r="270" spans="1:17" x14ac:dyDescent="0.35">
      <c r="A270">
        <v>2020</v>
      </c>
      <c r="B270" t="s">
        <v>14</v>
      </c>
      <c r="C270" t="s">
        <v>11</v>
      </c>
      <c r="D270">
        <v>14</v>
      </c>
      <c r="E270">
        <v>28</v>
      </c>
      <c r="F270">
        <v>42</v>
      </c>
      <c r="G270">
        <v>1</v>
      </c>
      <c r="H270" s="17">
        <v>37704103</v>
      </c>
      <c r="I270">
        <v>4229</v>
      </c>
      <c r="J270">
        <v>0</v>
      </c>
      <c r="K270" s="10">
        <v>0</v>
      </c>
      <c r="L270">
        <v>19</v>
      </c>
      <c r="M270">
        <v>0</v>
      </c>
      <c r="N270">
        <v>0</v>
      </c>
      <c r="O270">
        <v>0</v>
      </c>
      <c r="P270">
        <v>23</v>
      </c>
      <c r="Q270">
        <v>0</v>
      </c>
    </row>
    <row r="271" spans="1:17" ht="16.5" customHeight="1" x14ac:dyDescent="0.35">
      <c r="A271">
        <v>2020</v>
      </c>
      <c r="B271" t="s">
        <v>14</v>
      </c>
      <c r="C271" t="s">
        <v>12</v>
      </c>
      <c r="D271">
        <v>13</v>
      </c>
      <c r="E271">
        <v>31</v>
      </c>
      <c r="F271">
        <v>44</v>
      </c>
      <c r="G271">
        <v>8</v>
      </c>
      <c r="H271" s="17">
        <v>79806457</v>
      </c>
      <c r="I271">
        <v>10014</v>
      </c>
      <c r="J271">
        <v>5</v>
      </c>
      <c r="K271" s="10">
        <v>0</v>
      </c>
      <c r="L271">
        <v>27</v>
      </c>
      <c r="M271">
        <v>6</v>
      </c>
      <c r="N271">
        <v>0</v>
      </c>
      <c r="O271">
        <v>3</v>
      </c>
      <c r="P271">
        <v>6</v>
      </c>
      <c r="Q271">
        <v>0</v>
      </c>
    </row>
    <row r="272" spans="1:17" x14ac:dyDescent="0.35">
      <c r="A272">
        <v>2020</v>
      </c>
      <c r="B272" t="s">
        <v>15</v>
      </c>
      <c r="C272" t="s">
        <v>8</v>
      </c>
      <c r="D272">
        <v>10</v>
      </c>
      <c r="E272">
        <v>34</v>
      </c>
      <c r="F272">
        <v>44</v>
      </c>
      <c r="G272">
        <v>6</v>
      </c>
      <c r="H272" s="17">
        <v>102206500</v>
      </c>
      <c r="I272" s="6">
        <v>14979</v>
      </c>
      <c r="J272">
        <v>0</v>
      </c>
      <c r="K272" s="10">
        <v>0</v>
      </c>
      <c r="L272">
        <v>29</v>
      </c>
      <c r="M272">
        <v>2</v>
      </c>
      <c r="N272">
        <v>0</v>
      </c>
      <c r="O272">
        <v>1</v>
      </c>
      <c r="P272">
        <v>12</v>
      </c>
      <c r="Q272">
        <v>1</v>
      </c>
    </row>
    <row r="273" spans="1:75" x14ac:dyDescent="0.35">
      <c r="A273">
        <v>2020</v>
      </c>
      <c r="B273" t="s">
        <v>15</v>
      </c>
      <c r="C273" t="s">
        <v>9</v>
      </c>
      <c r="D273">
        <v>4</v>
      </c>
      <c r="E273">
        <v>4</v>
      </c>
      <c r="F273">
        <v>8</v>
      </c>
      <c r="G273">
        <v>1</v>
      </c>
      <c r="H273" s="17">
        <v>7765700</v>
      </c>
      <c r="I273">
        <v>871</v>
      </c>
      <c r="J273">
        <v>1</v>
      </c>
      <c r="K273" s="10">
        <v>0</v>
      </c>
      <c r="L273">
        <v>5</v>
      </c>
      <c r="M273">
        <v>0</v>
      </c>
      <c r="N273">
        <v>0</v>
      </c>
      <c r="O273">
        <v>0</v>
      </c>
      <c r="P273">
        <v>2</v>
      </c>
      <c r="Q273">
        <v>1</v>
      </c>
    </row>
    <row r="274" spans="1:75" x14ac:dyDescent="0.35">
      <c r="A274">
        <v>2020</v>
      </c>
      <c r="B274" t="s">
        <v>15</v>
      </c>
      <c r="C274" t="s">
        <v>10</v>
      </c>
      <c r="D274">
        <v>21</v>
      </c>
      <c r="E274">
        <v>28</v>
      </c>
      <c r="F274">
        <v>49</v>
      </c>
      <c r="G274">
        <v>2</v>
      </c>
      <c r="H274" s="17">
        <v>77923000</v>
      </c>
      <c r="I274" s="6">
        <v>8908</v>
      </c>
      <c r="J274">
        <v>0</v>
      </c>
      <c r="K274" s="10">
        <v>0</v>
      </c>
      <c r="L274">
        <v>37</v>
      </c>
      <c r="M274">
        <v>4</v>
      </c>
      <c r="N274">
        <v>0</v>
      </c>
      <c r="O274">
        <v>0</v>
      </c>
      <c r="P274">
        <v>13</v>
      </c>
      <c r="Q274">
        <v>0</v>
      </c>
    </row>
    <row r="275" spans="1:75" x14ac:dyDescent="0.35">
      <c r="A275">
        <v>2020</v>
      </c>
      <c r="B275" t="s">
        <v>15</v>
      </c>
      <c r="C275" t="s">
        <v>11</v>
      </c>
      <c r="D275">
        <v>2</v>
      </c>
      <c r="E275">
        <v>26</v>
      </c>
      <c r="F275">
        <v>28</v>
      </c>
      <c r="G275">
        <v>2</v>
      </c>
      <c r="H275" s="17">
        <v>25165800</v>
      </c>
      <c r="I275" s="6">
        <v>2714</v>
      </c>
      <c r="J275">
        <v>0</v>
      </c>
      <c r="K275" s="10">
        <v>0</v>
      </c>
      <c r="L275">
        <v>23</v>
      </c>
      <c r="M275">
        <v>0</v>
      </c>
      <c r="N275">
        <v>0</v>
      </c>
      <c r="O275">
        <v>0</v>
      </c>
      <c r="P275">
        <v>5</v>
      </c>
      <c r="Q275">
        <v>0</v>
      </c>
    </row>
    <row r="276" spans="1:75" ht="16.5" customHeight="1" x14ac:dyDescent="0.35">
      <c r="A276">
        <v>2020</v>
      </c>
      <c r="B276" t="s">
        <v>15</v>
      </c>
      <c r="C276" t="s">
        <v>12</v>
      </c>
      <c r="D276">
        <v>4</v>
      </c>
      <c r="E276">
        <v>23</v>
      </c>
      <c r="F276">
        <v>27</v>
      </c>
      <c r="G276">
        <v>1</v>
      </c>
      <c r="H276" s="17">
        <v>21928813</v>
      </c>
      <c r="I276" s="6">
        <v>2453.02</v>
      </c>
      <c r="J276">
        <v>6</v>
      </c>
      <c r="K276" s="10">
        <v>0</v>
      </c>
      <c r="L276">
        <v>9</v>
      </c>
      <c r="M276">
        <v>4</v>
      </c>
      <c r="N276">
        <v>0</v>
      </c>
      <c r="O276">
        <v>0</v>
      </c>
      <c r="P276">
        <v>8</v>
      </c>
      <c r="Q276">
        <v>0</v>
      </c>
    </row>
    <row r="277" spans="1:75" x14ac:dyDescent="0.35">
      <c r="A277">
        <v>2020</v>
      </c>
      <c r="B277" t="s">
        <v>16</v>
      </c>
      <c r="C277" t="s">
        <v>8</v>
      </c>
      <c r="D277">
        <v>7</v>
      </c>
      <c r="E277">
        <v>6</v>
      </c>
      <c r="F277">
        <v>13</v>
      </c>
      <c r="G277">
        <v>1</v>
      </c>
      <c r="H277" s="17">
        <v>16612800</v>
      </c>
      <c r="I277" s="6">
        <v>2874</v>
      </c>
      <c r="J277">
        <v>0</v>
      </c>
      <c r="K277" s="10">
        <v>0</v>
      </c>
      <c r="L277">
        <v>8</v>
      </c>
      <c r="M277">
        <v>0</v>
      </c>
      <c r="N277">
        <v>0</v>
      </c>
      <c r="O277">
        <v>1</v>
      </c>
      <c r="P277">
        <v>4</v>
      </c>
      <c r="Q277">
        <v>0</v>
      </c>
    </row>
    <row r="278" spans="1:75" x14ac:dyDescent="0.35">
      <c r="A278">
        <v>2020</v>
      </c>
      <c r="B278" t="s">
        <v>16</v>
      </c>
      <c r="C278" t="s">
        <v>9</v>
      </c>
      <c r="D278">
        <v>3</v>
      </c>
      <c r="E278">
        <v>5</v>
      </c>
      <c r="F278">
        <v>8</v>
      </c>
      <c r="G278">
        <v>1</v>
      </c>
      <c r="H278" s="17">
        <v>116160500</v>
      </c>
      <c r="I278" s="6">
        <v>13370</v>
      </c>
      <c r="J278">
        <v>2</v>
      </c>
      <c r="K278" s="10">
        <v>0</v>
      </c>
      <c r="L278">
        <v>5</v>
      </c>
      <c r="M278">
        <v>1</v>
      </c>
      <c r="N278">
        <v>0</v>
      </c>
      <c r="O278">
        <v>0</v>
      </c>
      <c r="P278">
        <v>0</v>
      </c>
      <c r="Q278">
        <v>0</v>
      </c>
    </row>
    <row r="279" spans="1:75" x14ac:dyDescent="0.35">
      <c r="A279">
        <v>2020</v>
      </c>
      <c r="B279" t="s">
        <v>16</v>
      </c>
      <c r="C279" t="s">
        <v>10</v>
      </c>
      <c r="D279">
        <v>1</v>
      </c>
      <c r="E279">
        <v>5</v>
      </c>
      <c r="F279">
        <v>6</v>
      </c>
      <c r="G279">
        <v>0</v>
      </c>
      <c r="H279" s="17">
        <v>4529880</v>
      </c>
      <c r="I279" s="5">
        <v>503.8</v>
      </c>
      <c r="J279">
        <v>0</v>
      </c>
      <c r="K279" s="10">
        <v>0</v>
      </c>
      <c r="L279">
        <v>4</v>
      </c>
      <c r="M279">
        <v>0</v>
      </c>
      <c r="N279">
        <v>0</v>
      </c>
      <c r="O279">
        <v>0</v>
      </c>
      <c r="P279">
        <v>3</v>
      </c>
      <c r="Q279">
        <v>0</v>
      </c>
    </row>
    <row r="280" spans="1:75" x14ac:dyDescent="0.35">
      <c r="A280">
        <v>2020</v>
      </c>
      <c r="B280" t="s">
        <v>16</v>
      </c>
      <c r="C280" t="s">
        <v>11</v>
      </c>
      <c r="D280">
        <v>1</v>
      </c>
      <c r="E280">
        <v>7</v>
      </c>
      <c r="F280">
        <v>8</v>
      </c>
      <c r="G280">
        <v>0</v>
      </c>
      <c r="H280" s="17">
        <v>7145800</v>
      </c>
      <c r="I280">
        <v>787</v>
      </c>
      <c r="J280">
        <v>0</v>
      </c>
      <c r="K280" s="10">
        <v>0</v>
      </c>
      <c r="L280">
        <v>5</v>
      </c>
      <c r="M280">
        <v>0</v>
      </c>
      <c r="N280">
        <v>0</v>
      </c>
      <c r="O280">
        <v>0</v>
      </c>
      <c r="P280">
        <v>3</v>
      </c>
      <c r="Q280">
        <v>0</v>
      </c>
    </row>
    <row r="281" spans="1:75" s="1" customFormat="1" ht="15" customHeight="1" x14ac:dyDescent="0.35">
      <c r="A281">
        <v>2020</v>
      </c>
      <c r="B281" t="s">
        <v>16</v>
      </c>
      <c r="C281" t="s">
        <v>12</v>
      </c>
      <c r="D281">
        <v>0</v>
      </c>
      <c r="E281">
        <v>12</v>
      </c>
      <c r="F281">
        <v>12</v>
      </c>
      <c r="G281">
        <v>1</v>
      </c>
      <c r="H281" s="17">
        <v>23651002</v>
      </c>
      <c r="I281" s="6">
        <v>2706.19</v>
      </c>
      <c r="J281">
        <v>0</v>
      </c>
      <c r="K281" s="10">
        <v>0</v>
      </c>
      <c r="L281">
        <v>6</v>
      </c>
      <c r="M281">
        <v>3</v>
      </c>
      <c r="N281">
        <v>0</v>
      </c>
      <c r="O281">
        <v>0</v>
      </c>
      <c r="P281">
        <v>4</v>
      </c>
      <c r="Q281">
        <v>0</v>
      </c>
      <c r="R281"/>
      <c r="S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row>
    <row r="282" spans="1:75" s="1" customFormat="1" x14ac:dyDescent="0.35">
      <c r="A282">
        <v>2020</v>
      </c>
      <c r="B282" t="s">
        <v>17</v>
      </c>
      <c r="C282" t="s">
        <v>8</v>
      </c>
      <c r="D282">
        <v>0</v>
      </c>
      <c r="E282">
        <v>0</v>
      </c>
      <c r="F282">
        <v>0</v>
      </c>
      <c r="G282">
        <v>0</v>
      </c>
      <c r="H282" s="18">
        <v>0</v>
      </c>
      <c r="I282">
        <v>0</v>
      </c>
      <c r="J282">
        <v>0</v>
      </c>
      <c r="K282" s="10">
        <v>0</v>
      </c>
      <c r="L282">
        <v>0</v>
      </c>
      <c r="M282">
        <v>0</v>
      </c>
      <c r="N282">
        <v>0</v>
      </c>
      <c r="O282">
        <v>0</v>
      </c>
      <c r="P282">
        <v>0</v>
      </c>
      <c r="Q282">
        <v>0</v>
      </c>
      <c r="R282"/>
      <c r="S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row>
    <row r="283" spans="1:75" s="1" customFormat="1" x14ac:dyDescent="0.35">
      <c r="A283">
        <v>2020</v>
      </c>
      <c r="B283" t="s">
        <v>17</v>
      </c>
      <c r="C283" t="s">
        <v>9</v>
      </c>
      <c r="D283">
        <v>0</v>
      </c>
      <c r="E283">
        <v>0</v>
      </c>
      <c r="F283">
        <v>0</v>
      </c>
      <c r="G283">
        <v>0</v>
      </c>
      <c r="H283" s="18">
        <v>0</v>
      </c>
      <c r="I283">
        <v>0</v>
      </c>
      <c r="J283">
        <v>0</v>
      </c>
      <c r="K283" s="10">
        <v>0</v>
      </c>
      <c r="L283">
        <v>0</v>
      </c>
      <c r="M283">
        <v>0</v>
      </c>
      <c r="N283">
        <v>0</v>
      </c>
      <c r="O283">
        <v>0</v>
      </c>
      <c r="P283">
        <v>0</v>
      </c>
      <c r="Q283">
        <v>0</v>
      </c>
      <c r="R283"/>
      <c r="S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row>
    <row r="284" spans="1:75" s="1" customFormat="1" x14ac:dyDescent="0.35">
      <c r="A284">
        <v>2020</v>
      </c>
      <c r="B284" t="s">
        <v>17</v>
      </c>
      <c r="C284" t="s">
        <v>10</v>
      </c>
      <c r="D284">
        <v>0</v>
      </c>
      <c r="E284">
        <v>0</v>
      </c>
      <c r="F284">
        <v>0</v>
      </c>
      <c r="G284">
        <v>0</v>
      </c>
      <c r="H284" s="18">
        <v>0</v>
      </c>
      <c r="I284">
        <v>0</v>
      </c>
      <c r="J284">
        <v>0</v>
      </c>
      <c r="K284" s="10">
        <v>0</v>
      </c>
      <c r="L284">
        <v>0</v>
      </c>
      <c r="M284">
        <v>0</v>
      </c>
      <c r="N284">
        <v>0</v>
      </c>
      <c r="O284">
        <v>0</v>
      </c>
      <c r="P284">
        <v>0</v>
      </c>
      <c r="Q284">
        <v>0</v>
      </c>
      <c r="R284"/>
      <c r="S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row>
    <row r="285" spans="1:75" s="1" customFormat="1" x14ac:dyDescent="0.35">
      <c r="A285">
        <v>2020</v>
      </c>
      <c r="B285" t="s">
        <v>17</v>
      </c>
      <c r="C285" t="s">
        <v>11</v>
      </c>
      <c r="D285">
        <v>0</v>
      </c>
      <c r="E285">
        <v>0</v>
      </c>
      <c r="F285">
        <v>0</v>
      </c>
      <c r="G285">
        <v>0</v>
      </c>
      <c r="H285" s="18">
        <v>0</v>
      </c>
      <c r="I285">
        <v>0</v>
      </c>
      <c r="J285">
        <v>0</v>
      </c>
      <c r="K285" s="10">
        <v>0</v>
      </c>
      <c r="L285">
        <v>0</v>
      </c>
      <c r="M285">
        <v>0</v>
      </c>
      <c r="N285">
        <v>0</v>
      </c>
      <c r="O285">
        <v>0</v>
      </c>
      <c r="P285">
        <v>0</v>
      </c>
      <c r="Q285">
        <v>0</v>
      </c>
      <c r="R285"/>
      <c r="S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row>
    <row r="286" spans="1:75" s="1" customFormat="1" ht="15.75" customHeight="1" x14ac:dyDescent="0.35">
      <c r="A286">
        <v>2020</v>
      </c>
      <c r="B286" t="s">
        <v>17</v>
      </c>
      <c r="C286" t="s">
        <v>12</v>
      </c>
      <c r="D286">
        <v>0</v>
      </c>
      <c r="E286">
        <v>0</v>
      </c>
      <c r="F286">
        <v>0</v>
      </c>
      <c r="G286">
        <v>0</v>
      </c>
      <c r="H286" s="18">
        <v>0</v>
      </c>
      <c r="I286">
        <v>0</v>
      </c>
      <c r="J286">
        <v>0</v>
      </c>
      <c r="K286" s="10">
        <v>0</v>
      </c>
      <c r="L286">
        <v>0</v>
      </c>
      <c r="M286">
        <v>0</v>
      </c>
      <c r="N286">
        <v>0</v>
      </c>
      <c r="O286">
        <v>0</v>
      </c>
      <c r="P286">
        <v>0</v>
      </c>
      <c r="Q286">
        <v>0</v>
      </c>
      <c r="R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row>
    <row r="287" spans="1:75" s="1" customFormat="1" x14ac:dyDescent="0.35">
      <c r="A287">
        <v>2020</v>
      </c>
      <c r="B287" t="s">
        <v>18</v>
      </c>
      <c r="C287" t="s">
        <v>8</v>
      </c>
      <c r="D287">
        <v>0</v>
      </c>
      <c r="E287">
        <v>0</v>
      </c>
      <c r="F287">
        <v>0</v>
      </c>
      <c r="G287">
        <v>0</v>
      </c>
      <c r="H287" s="18">
        <v>0</v>
      </c>
      <c r="I287">
        <v>0</v>
      </c>
      <c r="J287">
        <v>0</v>
      </c>
      <c r="K287" s="10">
        <v>0</v>
      </c>
      <c r="L287">
        <v>0</v>
      </c>
      <c r="M287">
        <v>0</v>
      </c>
      <c r="N287">
        <v>0</v>
      </c>
      <c r="O287">
        <v>0</v>
      </c>
      <c r="P287">
        <v>0</v>
      </c>
      <c r="Q287" s="3">
        <v>12</v>
      </c>
      <c r="R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row>
    <row r="288" spans="1:75" s="1" customFormat="1" x14ac:dyDescent="0.35">
      <c r="A288">
        <v>2020</v>
      </c>
      <c r="B288" t="s">
        <v>18</v>
      </c>
      <c r="C288" t="s">
        <v>9</v>
      </c>
      <c r="D288">
        <v>0</v>
      </c>
      <c r="E288">
        <v>0</v>
      </c>
      <c r="F288">
        <v>0</v>
      </c>
      <c r="G288">
        <v>0</v>
      </c>
      <c r="H288" s="18">
        <v>0</v>
      </c>
      <c r="I288">
        <v>0</v>
      </c>
      <c r="J288">
        <v>0</v>
      </c>
      <c r="K288" s="10">
        <v>0</v>
      </c>
      <c r="L288">
        <v>0</v>
      </c>
      <c r="M288">
        <v>0</v>
      </c>
      <c r="N288">
        <v>0</v>
      </c>
      <c r="O288">
        <v>0</v>
      </c>
      <c r="P288">
        <v>0</v>
      </c>
      <c r="Q288" s="3">
        <v>0</v>
      </c>
      <c r="R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row>
    <row r="289" spans="1:75" s="1" customFormat="1" x14ac:dyDescent="0.35">
      <c r="A289">
        <v>2020</v>
      </c>
      <c r="B289" t="s">
        <v>18</v>
      </c>
      <c r="C289" t="s">
        <v>10</v>
      </c>
      <c r="D289">
        <v>0</v>
      </c>
      <c r="E289">
        <v>0</v>
      </c>
      <c r="F289">
        <v>0</v>
      </c>
      <c r="G289">
        <v>0</v>
      </c>
      <c r="H289" s="18">
        <v>0</v>
      </c>
      <c r="I289">
        <v>0</v>
      </c>
      <c r="J289">
        <v>0</v>
      </c>
      <c r="K289" s="10">
        <v>0</v>
      </c>
      <c r="L289">
        <v>0</v>
      </c>
      <c r="M289">
        <v>0</v>
      </c>
      <c r="N289">
        <v>0</v>
      </c>
      <c r="O289">
        <v>0</v>
      </c>
      <c r="P289">
        <v>0</v>
      </c>
      <c r="Q289" s="3">
        <v>0</v>
      </c>
      <c r="R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row>
    <row r="290" spans="1:75" s="1" customFormat="1" x14ac:dyDescent="0.35">
      <c r="A290">
        <v>2020</v>
      </c>
      <c r="B290" t="s">
        <v>18</v>
      </c>
      <c r="C290" t="s">
        <v>11</v>
      </c>
      <c r="D290">
        <v>0</v>
      </c>
      <c r="E290">
        <v>0</v>
      </c>
      <c r="F290">
        <v>0</v>
      </c>
      <c r="G290">
        <v>0</v>
      </c>
      <c r="H290" s="18">
        <v>0</v>
      </c>
      <c r="I290">
        <v>0</v>
      </c>
      <c r="J290">
        <v>0</v>
      </c>
      <c r="K290" s="10">
        <v>0</v>
      </c>
      <c r="L290">
        <v>0</v>
      </c>
      <c r="M290">
        <v>0</v>
      </c>
      <c r="N290">
        <v>0</v>
      </c>
      <c r="O290">
        <v>0</v>
      </c>
      <c r="P290">
        <v>0</v>
      </c>
      <c r="Q290" s="3">
        <v>0</v>
      </c>
      <c r="R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row>
    <row r="291" spans="1:75" ht="15" customHeight="1" x14ac:dyDescent="0.35">
      <c r="A291">
        <v>2020</v>
      </c>
      <c r="B291" t="s">
        <v>18</v>
      </c>
      <c r="C291" t="s">
        <v>12</v>
      </c>
      <c r="D291">
        <v>0</v>
      </c>
      <c r="E291">
        <v>0</v>
      </c>
      <c r="F291">
        <v>0</v>
      </c>
      <c r="G291">
        <v>0</v>
      </c>
      <c r="H291" s="18">
        <v>0</v>
      </c>
      <c r="I291">
        <v>0</v>
      </c>
      <c r="J291">
        <v>0</v>
      </c>
      <c r="K291" s="10">
        <v>0</v>
      </c>
      <c r="L291">
        <v>0</v>
      </c>
      <c r="M291">
        <v>0</v>
      </c>
      <c r="N291">
        <v>0</v>
      </c>
      <c r="O291">
        <v>0</v>
      </c>
      <c r="P291">
        <v>0</v>
      </c>
      <c r="Q291" s="3">
        <v>0</v>
      </c>
      <c r="S291" s="1"/>
    </row>
    <row r="292" spans="1:75" x14ac:dyDescent="0.35">
      <c r="A292">
        <v>2020</v>
      </c>
      <c r="B292" t="s">
        <v>19</v>
      </c>
      <c r="C292" t="s">
        <v>8</v>
      </c>
      <c r="D292" s="3">
        <v>45</v>
      </c>
      <c r="E292" s="3">
        <v>49</v>
      </c>
      <c r="F292" s="3">
        <v>94</v>
      </c>
      <c r="G292" s="3">
        <v>5</v>
      </c>
      <c r="H292" s="17">
        <v>119620600</v>
      </c>
      <c r="I292" s="3">
        <v>12954</v>
      </c>
      <c r="J292" s="3">
        <v>0</v>
      </c>
      <c r="K292" s="10">
        <v>0</v>
      </c>
      <c r="L292" s="3">
        <v>50</v>
      </c>
      <c r="M292" s="3">
        <v>3</v>
      </c>
      <c r="N292" s="3">
        <v>0</v>
      </c>
      <c r="O292" s="3">
        <v>1</v>
      </c>
      <c r="P292" s="3">
        <v>40</v>
      </c>
      <c r="Q292" s="3">
        <v>0</v>
      </c>
      <c r="S292" s="1"/>
    </row>
    <row r="293" spans="1:75" x14ac:dyDescent="0.35">
      <c r="A293">
        <v>2020</v>
      </c>
      <c r="B293" t="s">
        <v>19</v>
      </c>
      <c r="C293" t="s">
        <v>9</v>
      </c>
      <c r="D293" s="3">
        <v>6</v>
      </c>
      <c r="E293" s="3">
        <v>26</v>
      </c>
      <c r="F293" s="3">
        <v>32</v>
      </c>
      <c r="G293" s="3">
        <v>4</v>
      </c>
      <c r="H293" s="17">
        <v>156514300</v>
      </c>
      <c r="I293" s="3">
        <v>18233</v>
      </c>
      <c r="J293" s="3">
        <v>8</v>
      </c>
      <c r="K293" s="10">
        <v>0</v>
      </c>
      <c r="L293" s="3">
        <v>20</v>
      </c>
      <c r="M293" s="3">
        <v>1</v>
      </c>
      <c r="N293" s="3">
        <v>2</v>
      </c>
      <c r="O293" s="3">
        <v>0</v>
      </c>
      <c r="P293" s="3">
        <v>1</v>
      </c>
      <c r="Q293" s="3">
        <v>10</v>
      </c>
      <c r="S293" s="1"/>
    </row>
    <row r="294" spans="1:75" x14ac:dyDescent="0.35">
      <c r="A294">
        <v>2020</v>
      </c>
      <c r="B294" t="s">
        <v>19</v>
      </c>
      <c r="C294" t="s">
        <v>10</v>
      </c>
      <c r="D294" s="3">
        <v>44</v>
      </c>
      <c r="E294" s="3">
        <v>173</v>
      </c>
      <c r="F294" s="3">
        <v>217</v>
      </c>
      <c r="G294" s="3">
        <v>14</v>
      </c>
      <c r="H294" s="17">
        <v>280154341.19999999</v>
      </c>
      <c r="I294" s="3">
        <v>31694.92</v>
      </c>
      <c r="J294" s="3">
        <v>0</v>
      </c>
      <c r="K294" s="10">
        <v>0</v>
      </c>
      <c r="L294" s="3">
        <v>136</v>
      </c>
      <c r="M294" s="3">
        <v>7</v>
      </c>
      <c r="N294" s="3">
        <v>0</v>
      </c>
      <c r="O294" s="3">
        <v>2</v>
      </c>
      <c r="P294" s="3">
        <v>74</v>
      </c>
      <c r="Q294" s="3">
        <v>0</v>
      </c>
      <c r="S294" s="1"/>
    </row>
    <row r="295" spans="1:75" ht="15.75" customHeight="1" x14ac:dyDescent="0.35">
      <c r="A295">
        <v>2020</v>
      </c>
      <c r="B295" t="s">
        <v>19</v>
      </c>
      <c r="C295" t="s">
        <v>11</v>
      </c>
      <c r="D295" s="3">
        <v>12</v>
      </c>
      <c r="E295" s="3">
        <v>85</v>
      </c>
      <c r="F295" s="3">
        <v>97</v>
      </c>
      <c r="G295" s="3">
        <v>6</v>
      </c>
      <c r="H295" s="17">
        <v>154075900</v>
      </c>
      <c r="I295" s="3">
        <v>13894</v>
      </c>
      <c r="J295" s="3">
        <v>0</v>
      </c>
      <c r="K295" s="10">
        <v>0</v>
      </c>
      <c r="L295" s="3">
        <v>47</v>
      </c>
      <c r="M295" s="3">
        <v>3</v>
      </c>
      <c r="N295" s="3">
        <v>0</v>
      </c>
      <c r="O295" s="3">
        <v>1</v>
      </c>
      <c r="P295" s="3">
        <v>46</v>
      </c>
      <c r="Q295" s="3">
        <v>0</v>
      </c>
      <c r="S295" s="1"/>
    </row>
    <row r="296" spans="1:75" x14ac:dyDescent="0.35">
      <c r="A296">
        <v>2020</v>
      </c>
      <c r="B296" t="s">
        <v>19</v>
      </c>
      <c r="C296" t="s">
        <v>12</v>
      </c>
      <c r="D296" s="3">
        <v>29</v>
      </c>
      <c r="E296" s="3">
        <v>62</v>
      </c>
      <c r="F296" s="3">
        <v>91</v>
      </c>
      <c r="G296" s="3">
        <v>6</v>
      </c>
      <c r="H296" s="17">
        <v>229592655.80000001</v>
      </c>
      <c r="I296" s="3">
        <v>28955.8</v>
      </c>
      <c r="J296" s="3">
        <v>4</v>
      </c>
      <c r="K296" s="10">
        <v>0</v>
      </c>
      <c r="L296" s="3">
        <v>46</v>
      </c>
      <c r="M296" s="3">
        <v>14</v>
      </c>
      <c r="N296" s="3">
        <v>0</v>
      </c>
      <c r="O296" s="3">
        <v>1</v>
      </c>
      <c r="P296" s="3">
        <v>26</v>
      </c>
      <c r="Q296" s="3">
        <v>0</v>
      </c>
    </row>
    <row r="297" spans="1:75" x14ac:dyDescent="0.35">
      <c r="A297">
        <v>2020</v>
      </c>
      <c r="B297" t="s">
        <v>20</v>
      </c>
      <c r="C297" t="s">
        <v>8</v>
      </c>
      <c r="D297" s="3">
        <v>48</v>
      </c>
      <c r="E297" s="3">
        <v>75</v>
      </c>
      <c r="F297" s="3">
        <v>123</v>
      </c>
      <c r="G297" s="3">
        <v>12</v>
      </c>
      <c r="H297" s="17">
        <v>520396609</v>
      </c>
      <c r="I297" s="3">
        <v>58706.17</v>
      </c>
      <c r="J297" s="3">
        <v>0</v>
      </c>
      <c r="K297" s="10">
        <v>0</v>
      </c>
      <c r="L297" s="3">
        <v>53</v>
      </c>
      <c r="M297" s="3">
        <v>13</v>
      </c>
      <c r="N297" s="3">
        <v>2</v>
      </c>
      <c r="O297" s="3">
        <v>0</v>
      </c>
      <c r="P297" s="3">
        <v>55</v>
      </c>
      <c r="Q297" s="3">
        <v>2</v>
      </c>
    </row>
    <row r="298" spans="1:75" x14ac:dyDescent="0.35">
      <c r="A298">
        <v>2020</v>
      </c>
      <c r="B298" t="s">
        <v>20</v>
      </c>
      <c r="C298" t="s">
        <v>9</v>
      </c>
      <c r="D298" s="3">
        <v>8</v>
      </c>
      <c r="E298" s="3">
        <v>26</v>
      </c>
      <c r="F298" s="3">
        <v>34</v>
      </c>
      <c r="G298" s="3">
        <v>4</v>
      </c>
      <c r="H298" s="17">
        <v>44334607</v>
      </c>
      <c r="I298" s="3">
        <v>7028</v>
      </c>
      <c r="J298" s="3">
        <v>2</v>
      </c>
      <c r="K298" s="10">
        <v>0</v>
      </c>
      <c r="L298" s="3">
        <v>22</v>
      </c>
      <c r="M298" s="3">
        <v>0</v>
      </c>
      <c r="N298" s="3">
        <v>1</v>
      </c>
      <c r="O298" s="3">
        <v>3</v>
      </c>
      <c r="P298" s="3">
        <v>6</v>
      </c>
      <c r="Q298" s="3">
        <v>0</v>
      </c>
    </row>
    <row r="299" spans="1:75" x14ac:dyDescent="0.35">
      <c r="A299">
        <v>2020</v>
      </c>
      <c r="B299" t="s">
        <v>20</v>
      </c>
      <c r="C299" t="s">
        <v>10</v>
      </c>
      <c r="D299" s="3">
        <v>72</v>
      </c>
      <c r="E299" s="3">
        <v>150</v>
      </c>
      <c r="F299" s="3">
        <v>222</v>
      </c>
      <c r="G299" s="3">
        <v>10</v>
      </c>
      <c r="H299" s="17">
        <v>374449620</v>
      </c>
      <c r="I299" s="3">
        <v>51918</v>
      </c>
      <c r="J299" s="3">
        <v>15</v>
      </c>
      <c r="K299" s="10">
        <v>0</v>
      </c>
      <c r="L299" s="3">
        <v>133</v>
      </c>
      <c r="M299" s="3">
        <v>12</v>
      </c>
      <c r="N299" s="3">
        <v>0</v>
      </c>
      <c r="O299" s="3">
        <v>2</v>
      </c>
      <c r="P299" s="3">
        <v>60</v>
      </c>
      <c r="Q299" s="3">
        <v>0</v>
      </c>
    </row>
    <row r="300" spans="1:75" ht="15.75" customHeight="1" x14ac:dyDescent="0.35">
      <c r="A300">
        <v>2020</v>
      </c>
      <c r="B300" t="s">
        <v>20</v>
      </c>
      <c r="C300" t="s">
        <v>11</v>
      </c>
      <c r="D300" s="3">
        <v>11</v>
      </c>
      <c r="E300" s="3">
        <v>75</v>
      </c>
      <c r="F300" s="3">
        <v>86</v>
      </c>
      <c r="G300" s="3">
        <v>2</v>
      </c>
      <c r="H300" s="17">
        <v>69612100</v>
      </c>
      <c r="I300" s="3">
        <v>6642</v>
      </c>
      <c r="J300" s="3">
        <v>0</v>
      </c>
      <c r="K300" s="10">
        <v>0</v>
      </c>
      <c r="L300" s="3">
        <v>37</v>
      </c>
      <c r="M300" s="3">
        <v>1</v>
      </c>
      <c r="N300" s="3">
        <v>1</v>
      </c>
      <c r="O300" s="3">
        <v>0</v>
      </c>
      <c r="P300" s="3">
        <v>47</v>
      </c>
      <c r="Q300" s="3">
        <v>0</v>
      </c>
    </row>
    <row r="301" spans="1:75" x14ac:dyDescent="0.35">
      <c r="A301">
        <v>2020</v>
      </c>
      <c r="B301" t="s">
        <v>20</v>
      </c>
      <c r="C301" t="s">
        <v>12</v>
      </c>
      <c r="D301" s="3">
        <v>18</v>
      </c>
      <c r="E301" s="3">
        <v>37</v>
      </c>
      <c r="F301" s="3">
        <v>55</v>
      </c>
      <c r="G301" s="3">
        <v>1</v>
      </c>
      <c r="H301" s="17">
        <v>3105334200</v>
      </c>
      <c r="I301" s="3">
        <v>2977.23</v>
      </c>
      <c r="J301" s="3">
        <v>6</v>
      </c>
      <c r="K301" s="10">
        <v>0</v>
      </c>
      <c r="L301" s="3">
        <v>25</v>
      </c>
      <c r="M301" s="3">
        <v>10</v>
      </c>
      <c r="N301" s="3">
        <v>0</v>
      </c>
      <c r="O301" s="3">
        <v>0</v>
      </c>
      <c r="P301" s="3">
        <v>14</v>
      </c>
      <c r="Q301" s="3">
        <v>0</v>
      </c>
    </row>
    <row r="302" spans="1:75" x14ac:dyDescent="0.35">
      <c r="A302">
        <v>2020</v>
      </c>
      <c r="B302" t="s">
        <v>21</v>
      </c>
      <c r="C302" t="s">
        <v>8</v>
      </c>
      <c r="D302" s="3">
        <v>20</v>
      </c>
      <c r="E302" s="3">
        <v>50</v>
      </c>
      <c r="F302" s="3">
        <v>70</v>
      </c>
      <c r="G302" s="3">
        <v>4</v>
      </c>
      <c r="H302" s="17">
        <v>76149200</v>
      </c>
      <c r="I302" s="3">
        <v>8199</v>
      </c>
      <c r="J302" s="3">
        <v>0</v>
      </c>
      <c r="K302" s="10">
        <v>0</v>
      </c>
      <c r="L302" s="3">
        <v>39</v>
      </c>
      <c r="M302" s="3">
        <v>5</v>
      </c>
      <c r="N302" s="3">
        <v>0</v>
      </c>
      <c r="O302" s="3">
        <v>0</v>
      </c>
      <c r="P302" s="3">
        <v>26</v>
      </c>
      <c r="Q302" s="3">
        <v>7</v>
      </c>
    </row>
    <row r="303" spans="1:75" x14ac:dyDescent="0.35">
      <c r="A303">
        <v>2020</v>
      </c>
      <c r="B303" t="s">
        <v>21</v>
      </c>
      <c r="C303" t="s">
        <v>9</v>
      </c>
      <c r="D303" s="3">
        <v>1</v>
      </c>
      <c r="E303" s="3">
        <v>27</v>
      </c>
      <c r="F303" s="3">
        <v>28</v>
      </c>
      <c r="G303" s="3">
        <v>0</v>
      </c>
      <c r="H303" s="17">
        <v>20073200</v>
      </c>
      <c r="I303" s="3">
        <v>2462</v>
      </c>
      <c r="J303" s="3">
        <v>0</v>
      </c>
      <c r="K303" s="10">
        <v>0</v>
      </c>
      <c r="L303" s="3">
        <v>21</v>
      </c>
      <c r="M303" s="3">
        <v>2</v>
      </c>
      <c r="N303" s="3">
        <v>2</v>
      </c>
      <c r="O303" s="3">
        <v>2</v>
      </c>
      <c r="P303" s="3">
        <v>3</v>
      </c>
      <c r="Q303" s="3">
        <v>0</v>
      </c>
    </row>
    <row r="304" spans="1:75" x14ac:dyDescent="0.35">
      <c r="A304">
        <v>2020</v>
      </c>
      <c r="B304" t="s">
        <v>21</v>
      </c>
      <c r="C304" t="s">
        <v>10</v>
      </c>
      <c r="D304" s="3">
        <v>19</v>
      </c>
      <c r="E304" s="3">
        <v>156</v>
      </c>
      <c r="F304" s="3">
        <v>175</v>
      </c>
      <c r="G304" s="3">
        <v>8</v>
      </c>
      <c r="H304" s="17">
        <v>586879100</v>
      </c>
      <c r="I304" s="3">
        <v>61411</v>
      </c>
      <c r="J304" s="3">
        <v>0</v>
      </c>
      <c r="K304" s="10">
        <v>0</v>
      </c>
      <c r="L304" s="3">
        <v>111</v>
      </c>
      <c r="M304" s="3">
        <v>5</v>
      </c>
      <c r="N304" s="3">
        <v>1</v>
      </c>
      <c r="O304" s="3">
        <v>1</v>
      </c>
      <c r="P304" s="3">
        <v>57</v>
      </c>
      <c r="Q304" s="3">
        <v>0</v>
      </c>
    </row>
    <row r="305" spans="1:17" ht="15.75" customHeight="1" x14ac:dyDescent="0.35">
      <c r="A305">
        <v>2020</v>
      </c>
      <c r="B305" t="s">
        <v>21</v>
      </c>
      <c r="C305" t="s">
        <v>11</v>
      </c>
      <c r="D305" s="3">
        <v>8</v>
      </c>
      <c r="E305" s="3">
        <v>57</v>
      </c>
      <c r="F305" s="3">
        <v>65</v>
      </c>
      <c r="G305" s="3">
        <v>2</v>
      </c>
      <c r="H305" s="17">
        <v>55360920</v>
      </c>
      <c r="I305" s="3">
        <v>6031</v>
      </c>
      <c r="J305" s="3">
        <v>0</v>
      </c>
      <c r="K305" s="10">
        <v>0</v>
      </c>
      <c r="L305" s="3">
        <v>34</v>
      </c>
      <c r="M305" s="3">
        <v>1</v>
      </c>
      <c r="N305" s="3">
        <v>0</v>
      </c>
      <c r="O305" s="3">
        <v>1</v>
      </c>
      <c r="P305" s="3">
        <v>29</v>
      </c>
      <c r="Q305" s="3">
        <v>0</v>
      </c>
    </row>
    <row r="306" spans="1:17" x14ac:dyDescent="0.35">
      <c r="A306">
        <v>2019</v>
      </c>
      <c r="B306" t="s">
        <v>21</v>
      </c>
      <c r="C306" t="s">
        <v>12</v>
      </c>
      <c r="D306" s="3">
        <v>25</v>
      </c>
      <c r="E306" s="3">
        <v>38</v>
      </c>
      <c r="F306" s="3">
        <v>63</v>
      </c>
      <c r="G306" s="3">
        <v>2</v>
      </c>
      <c r="H306" s="17">
        <v>54897730</v>
      </c>
      <c r="I306" s="3">
        <v>5985.87</v>
      </c>
      <c r="J306" s="3">
        <v>4</v>
      </c>
      <c r="K306" s="10">
        <v>0</v>
      </c>
      <c r="L306" s="3">
        <v>36</v>
      </c>
      <c r="M306" s="3">
        <v>3</v>
      </c>
      <c r="N306" s="3">
        <v>0</v>
      </c>
      <c r="O306" s="3">
        <v>0</v>
      </c>
      <c r="P306" s="3">
        <v>20</v>
      </c>
      <c r="Q306" s="3">
        <v>5</v>
      </c>
    </row>
    <row r="307" spans="1:17" x14ac:dyDescent="0.35">
      <c r="A307">
        <v>2019</v>
      </c>
      <c r="B307" t="s">
        <v>7</v>
      </c>
      <c r="C307" t="s">
        <v>8</v>
      </c>
      <c r="D307" s="3">
        <v>1</v>
      </c>
      <c r="E307" s="3">
        <v>25</v>
      </c>
      <c r="F307" s="3">
        <v>26</v>
      </c>
      <c r="G307" s="3">
        <v>2</v>
      </c>
      <c r="H307" s="17">
        <v>143688600</v>
      </c>
      <c r="I307" s="3">
        <v>18419</v>
      </c>
      <c r="J307" s="3">
        <v>6</v>
      </c>
      <c r="K307" s="10">
        <v>0</v>
      </c>
      <c r="L307" s="3">
        <v>18</v>
      </c>
      <c r="M307" s="3">
        <v>1</v>
      </c>
      <c r="N307" s="3">
        <v>0</v>
      </c>
      <c r="O307" s="3">
        <v>1</v>
      </c>
      <c r="P307" s="3">
        <v>0</v>
      </c>
      <c r="Q307" s="3">
        <v>11</v>
      </c>
    </row>
    <row r="308" spans="1:17" x14ac:dyDescent="0.35">
      <c r="A308">
        <v>2019</v>
      </c>
      <c r="B308" t="s">
        <v>7</v>
      </c>
      <c r="C308" t="s">
        <v>9</v>
      </c>
      <c r="D308" s="3">
        <v>81</v>
      </c>
      <c r="E308" s="3">
        <v>139</v>
      </c>
      <c r="F308" s="3">
        <v>220</v>
      </c>
      <c r="G308" s="3">
        <v>13</v>
      </c>
      <c r="H308" s="17">
        <v>292487700</v>
      </c>
      <c r="I308" s="3">
        <v>31291</v>
      </c>
      <c r="J308" s="3">
        <v>0</v>
      </c>
      <c r="K308" s="10">
        <v>0</v>
      </c>
      <c r="L308" s="3">
        <v>131</v>
      </c>
      <c r="M308" s="3">
        <v>8</v>
      </c>
      <c r="N308" s="3">
        <v>1</v>
      </c>
      <c r="O308" s="3">
        <v>3</v>
      </c>
      <c r="P308" s="3">
        <v>78</v>
      </c>
      <c r="Q308" s="3">
        <v>0</v>
      </c>
    </row>
    <row r="309" spans="1:17" x14ac:dyDescent="0.35">
      <c r="A309">
        <v>2019</v>
      </c>
      <c r="B309" t="s">
        <v>7</v>
      </c>
      <c r="C309" t="s">
        <v>10</v>
      </c>
      <c r="D309" s="3">
        <v>3</v>
      </c>
      <c r="E309" s="3">
        <v>48</v>
      </c>
      <c r="F309" s="3">
        <v>51</v>
      </c>
      <c r="G309" s="3">
        <v>4</v>
      </c>
      <c r="H309" s="17">
        <v>79592200</v>
      </c>
      <c r="I309" s="3">
        <v>8987</v>
      </c>
      <c r="J309" s="3">
        <v>0</v>
      </c>
      <c r="K309" s="10">
        <v>0</v>
      </c>
      <c r="L309" s="3">
        <v>20</v>
      </c>
      <c r="M309" s="3">
        <v>1</v>
      </c>
      <c r="N309" s="3">
        <v>1</v>
      </c>
      <c r="O309" s="3">
        <v>2</v>
      </c>
      <c r="P309" s="3">
        <v>27</v>
      </c>
      <c r="Q309" s="3">
        <v>0</v>
      </c>
    </row>
    <row r="310" spans="1:17" ht="15.75" customHeight="1" x14ac:dyDescent="0.35">
      <c r="A310">
        <v>2019</v>
      </c>
      <c r="B310" t="s">
        <v>7</v>
      </c>
      <c r="C310" t="s">
        <v>11</v>
      </c>
      <c r="D310" s="3">
        <v>24</v>
      </c>
      <c r="E310" s="3">
        <v>30</v>
      </c>
      <c r="F310" s="3">
        <v>54</v>
      </c>
      <c r="G310" s="3">
        <v>3</v>
      </c>
      <c r="H310" s="17">
        <v>59633853.399999999</v>
      </c>
      <c r="I310" s="3">
        <v>682695</v>
      </c>
      <c r="J310" s="3">
        <v>3</v>
      </c>
      <c r="K310" s="10">
        <v>0</v>
      </c>
      <c r="L310" s="3">
        <v>27</v>
      </c>
      <c r="M310" s="3">
        <v>9</v>
      </c>
      <c r="N310" s="3">
        <v>0</v>
      </c>
      <c r="O310" s="3">
        <v>0</v>
      </c>
      <c r="P310" s="3">
        <v>15</v>
      </c>
      <c r="Q310" s="3">
        <v>0</v>
      </c>
    </row>
    <row r="311" spans="1:17" x14ac:dyDescent="0.35">
      <c r="A311">
        <v>2019</v>
      </c>
      <c r="B311" t="s">
        <v>27</v>
      </c>
      <c r="C311" t="s">
        <v>12</v>
      </c>
      <c r="D311" s="3">
        <v>30</v>
      </c>
      <c r="E311" s="3">
        <v>74</v>
      </c>
      <c r="F311" s="3">
        <v>104</v>
      </c>
      <c r="G311" s="3">
        <v>2</v>
      </c>
      <c r="H311" s="17">
        <v>90203900</v>
      </c>
      <c r="I311" s="3">
        <v>9908</v>
      </c>
      <c r="J311" s="3">
        <v>0</v>
      </c>
      <c r="K311" s="10">
        <v>0</v>
      </c>
      <c r="L311" s="3">
        <v>54</v>
      </c>
      <c r="M311" s="3">
        <v>5</v>
      </c>
      <c r="N311" s="3">
        <v>0</v>
      </c>
      <c r="O311" s="3">
        <v>0</v>
      </c>
      <c r="P311" s="3">
        <v>45</v>
      </c>
      <c r="Q311" s="3">
        <v>0</v>
      </c>
    </row>
    <row r="312" spans="1:17" x14ac:dyDescent="0.35">
      <c r="A312">
        <v>2019</v>
      </c>
      <c r="B312" t="s">
        <v>27</v>
      </c>
      <c r="C312" t="s">
        <v>9</v>
      </c>
      <c r="D312" s="3">
        <v>10</v>
      </c>
      <c r="E312" s="3">
        <v>25</v>
      </c>
      <c r="F312" s="3">
        <v>35</v>
      </c>
      <c r="G312" s="3">
        <v>0</v>
      </c>
      <c r="H312" s="17">
        <v>25966311</v>
      </c>
      <c r="I312" s="3">
        <v>3111</v>
      </c>
      <c r="J312" s="3">
        <v>3</v>
      </c>
      <c r="K312" s="10">
        <v>0</v>
      </c>
      <c r="L312" s="3">
        <v>29</v>
      </c>
      <c r="M312" s="3">
        <v>0</v>
      </c>
      <c r="N312" s="3">
        <v>0</v>
      </c>
      <c r="O312" s="3">
        <v>0</v>
      </c>
      <c r="P312" s="3">
        <v>3</v>
      </c>
      <c r="Q312" s="3">
        <v>9</v>
      </c>
    </row>
    <row r="313" spans="1:17" x14ac:dyDescent="0.35">
      <c r="A313">
        <v>2019</v>
      </c>
      <c r="B313" t="s">
        <v>27</v>
      </c>
      <c r="C313" t="s">
        <v>10</v>
      </c>
      <c r="D313" s="3">
        <v>58</v>
      </c>
      <c r="E313" s="3">
        <v>143</v>
      </c>
      <c r="F313" s="3">
        <v>201</v>
      </c>
      <c r="G313" s="3">
        <v>5</v>
      </c>
      <c r="H313" s="17">
        <v>171291450</v>
      </c>
      <c r="I313" s="3">
        <v>17882</v>
      </c>
      <c r="J313" s="3">
        <v>0</v>
      </c>
      <c r="K313" s="10">
        <v>0</v>
      </c>
      <c r="L313" s="3">
        <v>146</v>
      </c>
      <c r="M313" s="3">
        <v>1</v>
      </c>
      <c r="N313" s="3">
        <v>0</v>
      </c>
      <c r="O313" s="3">
        <v>0</v>
      </c>
      <c r="P313" s="3">
        <v>54</v>
      </c>
      <c r="Q313" s="3">
        <v>0</v>
      </c>
    </row>
    <row r="314" spans="1:17" x14ac:dyDescent="0.35">
      <c r="A314">
        <v>2019</v>
      </c>
      <c r="B314" t="s">
        <v>27</v>
      </c>
      <c r="C314" t="s">
        <v>11</v>
      </c>
      <c r="D314" s="3">
        <v>109</v>
      </c>
      <c r="E314" s="3">
        <v>140</v>
      </c>
      <c r="F314" s="3">
        <v>249</v>
      </c>
      <c r="G314" s="3">
        <v>5</v>
      </c>
      <c r="H314" s="17">
        <v>101979900</v>
      </c>
      <c r="I314" s="3">
        <v>11701</v>
      </c>
      <c r="J314" s="3">
        <v>0</v>
      </c>
      <c r="K314" s="10">
        <v>0</v>
      </c>
      <c r="L314" s="3">
        <v>54</v>
      </c>
      <c r="M314" s="3">
        <v>1</v>
      </c>
      <c r="N314" s="3">
        <v>0</v>
      </c>
      <c r="O314" s="3">
        <v>0</v>
      </c>
      <c r="P314" s="3">
        <v>40</v>
      </c>
      <c r="Q314" s="3">
        <v>0</v>
      </c>
    </row>
    <row r="315" spans="1:17" ht="15.75" customHeight="1" x14ac:dyDescent="0.35">
      <c r="A315">
        <v>2019</v>
      </c>
      <c r="B315" t="s">
        <v>27</v>
      </c>
      <c r="C315" t="s">
        <v>12</v>
      </c>
      <c r="D315" s="3">
        <v>28</v>
      </c>
      <c r="E315" s="3">
        <v>29</v>
      </c>
      <c r="F315" s="3">
        <v>57</v>
      </c>
      <c r="G315" s="3">
        <v>4</v>
      </c>
      <c r="H315" s="17">
        <v>100591878</v>
      </c>
      <c r="I315" s="3">
        <v>16684.93</v>
      </c>
      <c r="J315" s="3">
        <v>1</v>
      </c>
      <c r="K315" s="10">
        <v>0</v>
      </c>
      <c r="L315" s="3">
        <v>28</v>
      </c>
      <c r="M315" s="3">
        <v>4</v>
      </c>
      <c r="N315" s="3">
        <v>0</v>
      </c>
      <c r="O315" s="3">
        <v>2</v>
      </c>
      <c r="P315" s="3">
        <v>22</v>
      </c>
      <c r="Q315" s="3">
        <v>0</v>
      </c>
    </row>
    <row r="316" spans="1:17" x14ac:dyDescent="0.35">
      <c r="A316">
        <v>2019</v>
      </c>
      <c r="B316" t="s">
        <v>26</v>
      </c>
      <c r="C316" t="s">
        <v>8</v>
      </c>
      <c r="D316" s="3">
        <v>55</v>
      </c>
      <c r="E316" s="3">
        <v>106</v>
      </c>
      <c r="F316" s="3">
        <v>161</v>
      </c>
      <c r="G316" s="3">
        <v>6</v>
      </c>
      <c r="H316" s="17">
        <v>168922018</v>
      </c>
      <c r="I316" s="3">
        <v>18987.88</v>
      </c>
      <c r="J316" s="3">
        <v>0</v>
      </c>
      <c r="K316" s="10">
        <v>0</v>
      </c>
      <c r="L316" s="3">
        <v>70</v>
      </c>
      <c r="M316" s="3">
        <v>14</v>
      </c>
      <c r="N316" s="3">
        <v>0</v>
      </c>
      <c r="O316" s="3">
        <v>1</v>
      </c>
      <c r="P316" s="3">
        <v>76</v>
      </c>
      <c r="Q316" s="3">
        <v>0</v>
      </c>
    </row>
    <row r="317" spans="1:17" x14ac:dyDescent="0.35">
      <c r="A317">
        <v>2019</v>
      </c>
      <c r="B317" t="s">
        <v>26</v>
      </c>
      <c r="C317" t="s">
        <v>9</v>
      </c>
      <c r="D317" s="3">
        <v>3</v>
      </c>
      <c r="E317" s="3">
        <v>50</v>
      </c>
      <c r="F317" s="3">
        <v>53</v>
      </c>
      <c r="G317" s="3">
        <v>4</v>
      </c>
      <c r="H317" s="17">
        <v>62063500</v>
      </c>
      <c r="I317" s="3">
        <v>7468</v>
      </c>
      <c r="J317" s="3">
        <v>9</v>
      </c>
      <c r="K317" s="10">
        <v>0</v>
      </c>
      <c r="L317" s="3">
        <v>39</v>
      </c>
      <c r="M317" s="3">
        <v>0</v>
      </c>
      <c r="N317" s="3">
        <v>4</v>
      </c>
      <c r="O317" s="3">
        <v>1</v>
      </c>
      <c r="P317" s="3">
        <v>0</v>
      </c>
      <c r="Q317" s="3">
        <v>14</v>
      </c>
    </row>
    <row r="318" spans="1:17" x14ac:dyDescent="0.35">
      <c r="A318">
        <v>2019</v>
      </c>
      <c r="B318" t="s">
        <v>26</v>
      </c>
      <c r="C318" t="s">
        <v>10</v>
      </c>
      <c r="D318" s="3">
        <v>37</v>
      </c>
      <c r="E318" s="3">
        <v>90</v>
      </c>
      <c r="F318" s="3">
        <v>127</v>
      </c>
      <c r="G318" s="3">
        <v>3</v>
      </c>
      <c r="H318" s="17">
        <v>84676000</v>
      </c>
      <c r="I318" s="3">
        <v>9021</v>
      </c>
      <c r="J318" s="3">
        <v>0</v>
      </c>
      <c r="K318" s="10">
        <v>0</v>
      </c>
      <c r="L318" s="3">
        <v>75</v>
      </c>
      <c r="M318" s="3">
        <v>5</v>
      </c>
      <c r="N318" s="3">
        <v>0</v>
      </c>
      <c r="O318" s="3">
        <v>0</v>
      </c>
      <c r="P318" s="3">
        <v>47</v>
      </c>
      <c r="Q318" s="3">
        <v>7</v>
      </c>
    </row>
    <row r="319" spans="1:17" x14ac:dyDescent="0.35">
      <c r="A319">
        <v>2019</v>
      </c>
      <c r="B319" t="s">
        <v>26</v>
      </c>
      <c r="C319" t="s">
        <v>11</v>
      </c>
      <c r="D319" s="3">
        <v>9</v>
      </c>
      <c r="E319" s="3">
        <v>65</v>
      </c>
      <c r="F319" s="3">
        <v>74</v>
      </c>
      <c r="G319" s="3">
        <v>3</v>
      </c>
      <c r="H319" s="17">
        <v>71758100</v>
      </c>
      <c r="I319" s="3">
        <v>8330</v>
      </c>
      <c r="J319" s="3">
        <v>0</v>
      </c>
      <c r="K319" s="10">
        <v>0</v>
      </c>
      <c r="L319" s="3">
        <v>38</v>
      </c>
      <c r="M319" s="3">
        <v>2</v>
      </c>
      <c r="N319" s="3">
        <v>0</v>
      </c>
      <c r="O319" s="3">
        <v>2</v>
      </c>
      <c r="P319" s="3">
        <v>32</v>
      </c>
      <c r="Q319" s="3">
        <v>0</v>
      </c>
    </row>
    <row r="320" spans="1:17" ht="15.75" customHeight="1" x14ac:dyDescent="0.35">
      <c r="A320">
        <v>2019</v>
      </c>
      <c r="B320" t="s">
        <v>26</v>
      </c>
      <c r="C320" t="s">
        <v>12</v>
      </c>
      <c r="D320" s="3">
        <v>30</v>
      </c>
      <c r="E320" s="3">
        <v>44</v>
      </c>
      <c r="F320" s="3">
        <v>74</v>
      </c>
      <c r="G320" s="3">
        <v>9</v>
      </c>
      <c r="H320" s="17">
        <v>199805658.40000001</v>
      </c>
      <c r="I320" s="3">
        <v>22845</v>
      </c>
      <c r="J320" s="3">
        <v>1</v>
      </c>
      <c r="K320" s="10">
        <v>0</v>
      </c>
      <c r="L320" s="3">
        <v>38</v>
      </c>
      <c r="M320" s="3">
        <v>14</v>
      </c>
      <c r="N320" s="3">
        <v>0</v>
      </c>
      <c r="O320" s="3">
        <v>0</v>
      </c>
      <c r="P320" s="3">
        <v>21</v>
      </c>
      <c r="Q320" s="3">
        <v>0</v>
      </c>
    </row>
    <row r="321" spans="1:17" x14ac:dyDescent="0.35">
      <c r="A321">
        <v>2019</v>
      </c>
      <c r="B321" t="s">
        <v>13</v>
      </c>
      <c r="C321" t="s">
        <v>8</v>
      </c>
      <c r="D321" s="3">
        <v>36</v>
      </c>
      <c r="E321" s="3">
        <v>59</v>
      </c>
      <c r="F321" s="3">
        <v>95</v>
      </c>
      <c r="G321" s="3">
        <v>6</v>
      </c>
      <c r="H321" s="17">
        <v>135626972</v>
      </c>
      <c r="I321" s="3">
        <v>17060.439999999999</v>
      </c>
      <c r="J321" s="3">
        <v>2</v>
      </c>
      <c r="K321" s="10">
        <v>0</v>
      </c>
      <c r="L321" s="3">
        <v>52</v>
      </c>
      <c r="M321" s="3">
        <v>2</v>
      </c>
      <c r="N321" s="3">
        <v>0</v>
      </c>
      <c r="O321" s="3">
        <v>1</v>
      </c>
      <c r="P321" s="3">
        <v>38</v>
      </c>
      <c r="Q321" s="3">
        <v>13</v>
      </c>
    </row>
    <row r="322" spans="1:17" x14ac:dyDescent="0.35">
      <c r="A322">
        <v>2019</v>
      </c>
      <c r="B322" t="s">
        <v>13</v>
      </c>
      <c r="C322" t="s">
        <v>9</v>
      </c>
      <c r="D322" s="3">
        <v>2</v>
      </c>
      <c r="E322" s="3">
        <v>47</v>
      </c>
      <c r="F322" s="3">
        <v>49</v>
      </c>
      <c r="G322" s="3">
        <v>1</v>
      </c>
      <c r="H322" s="17">
        <v>41006208</v>
      </c>
      <c r="I322" s="3">
        <v>5051</v>
      </c>
      <c r="J322" s="3">
        <v>11</v>
      </c>
      <c r="K322" s="10">
        <v>0</v>
      </c>
      <c r="L322" s="3">
        <v>33</v>
      </c>
      <c r="M322" s="3">
        <v>1</v>
      </c>
      <c r="N322" s="3">
        <v>0</v>
      </c>
      <c r="O322" s="3">
        <v>3</v>
      </c>
      <c r="P322" s="3">
        <v>1</v>
      </c>
      <c r="Q322" s="3">
        <v>9</v>
      </c>
    </row>
    <row r="323" spans="1:17" x14ac:dyDescent="0.35">
      <c r="A323">
        <v>2019</v>
      </c>
      <c r="B323" t="s">
        <v>13</v>
      </c>
      <c r="C323" t="s">
        <v>10</v>
      </c>
      <c r="D323" s="3">
        <v>64</v>
      </c>
      <c r="E323" s="3">
        <v>112</v>
      </c>
      <c r="F323" s="3">
        <v>176</v>
      </c>
      <c r="G323" s="3">
        <v>15</v>
      </c>
      <c r="H323" s="17">
        <v>265240800</v>
      </c>
      <c r="I323" s="3">
        <v>32869</v>
      </c>
      <c r="J323" s="3">
        <v>12</v>
      </c>
      <c r="K323" s="10">
        <v>0</v>
      </c>
      <c r="L323" s="3">
        <v>102</v>
      </c>
      <c r="M323" s="3">
        <v>6</v>
      </c>
      <c r="N323" s="3">
        <v>2</v>
      </c>
      <c r="O323" s="3">
        <v>5</v>
      </c>
      <c r="P323" s="3">
        <v>47</v>
      </c>
      <c r="Q323" s="3">
        <v>4</v>
      </c>
    </row>
    <row r="324" spans="1:17" x14ac:dyDescent="0.35">
      <c r="A324">
        <v>2019</v>
      </c>
      <c r="B324" t="s">
        <v>13</v>
      </c>
      <c r="C324" t="s">
        <v>11</v>
      </c>
      <c r="D324" s="3">
        <v>20</v>
      </c>
      <c r="E324" s="3">
        <v>73</v>
      </c>
      <c r="F324" s="3">
        <v>93</v>
      </c>
      <c r="G324" s="3">
        <v>4</v>
      </c>
      <c r="H324" s="17">
        <v>101407800</v>
      </c>
      <c r="I324" s="3">
        <v>10010</v>
      </c>
      <c r="J324" s="3">
        <v>0</v>
      </c>
      <c r="K324" s="10">
        <v>0</v>
      </c>
      <c r="L324" s="3">
        <v>47</v>
      </c>
      <c r="M324" s="3">
        <v>1</v>
      </c>
      <c r="N324" s="3">
        <v>1</v>
      </c>
      <c r="O324" s="3">
        <v>1</v>
      </c>
      <c r="P324" s="3">
        <v>43</v>
      </c>
      <c r="Q324" s="3">
        <v>0</v>
      </c>
    </row>
    <row r="325" spans="1:17" ht="16.5" customHeight="1" x14ac:dyDescent="0.35">
      <c r="A325">
        <v>2019</v>
      </c>
      <c r="B325" t="s">
        <v>13</v>
      </c>
      <c r="C325" t="s">
        <v>12</v>
      </c>
      <c r="D325" s="3">
        <v>19</v>
      </c>
      <c r="E325" s="3">
        <v>34</v>
      </c>
      <c r="F325" s="3">
        <v>53</v>
      </c>
      <c r="G325" s="3">
        <v>1</v>
      </c>
      <c r="H325" s="17">
        <v>45655388</v>
      </c>
      <c r="I325" s="3">
        <v>4597.58</v>
      </c>
      <c r="J325" s="3">
        <v>2</v>
      </c>
      <c r="K325" s="10">
        <v>0</v>
      </c>
      <c r="L325" s="3">
        <v>27</v>
      </c>
      <c r="M325" s="3">
        <v>10</v>
      </c>
      <c r="N325" s="3">
        <v>0</v>
      </c>
      <c r="O325" s="3">
        <v>0</v>
      </c>
      <c r="P325" s="3">
        <v>14</v>
      </c>
      <c r="Q325" s="3">
        <v>0</v>
      </c>
    </row>
    <row r="326" spans="1:17" x14ac:dyDescent="0.35">
      <c r="A326">
        <v>2019</v>
      </c>
      <c r="B326" t="s">
        <v>14</v>
      </c>
      <c r="C326" t="s">
        <v>8</v>
      </c>
      <c r="D326" s="3">
        <v>36</v>
      </c>
      <c r="E326" s="3">
        <v>84</v>
      </c>
      <c r="F326" s="3">
        <v>120</v>
      </c>
      <c r="G326" s="3">
        <v>8</v>
      </c>
      <c r="H326" s="17">
        <v>284662800</v>
      </c>
      <c r="I326" s="3">
        <v>32386</v>
      </c>
      <c r="J326" s="3">
        <v>0</v>
      </c>
      <c r="K326" s="10">
        <v>0</v>
      </c>
      <c r="L326" s="3">
        <v>62</v>
      </c>
      <c r="M326" s="3">
        <v>14</v>
      </c>
      <c r="N326" s="3">
        <v>0</v>
      </c>
      <c r="O326" s="3">
        <v>1</v>
      </c>
      <c r="P326" s="3">
        <v>43</v>
      </c>
      <c r="Q326" s="3">
        <v>10</v>
      </c>
    </row>
    <row r="327" spans="1:17" x14ac:dyDescent="0.35">
      <c r="A327">
        <v>2019</v>
      </c>
      <c r="B327" t="s">
        <v>14</v>
      </c>
      <c r="C327" t="s">
        <v>9</v>
      </c>
      <c r="D327" s="3">
        <v>4</v>
      </c>
      <c r="E327" s="3">
        <v>41</v>
      </c>
      <c r="F327" s="3">
        <v>45</v>
      </c>
      <c r="G327" s="3">
        <v>1</v>
      </c>
      <c r="H327" s="17">
        <v>47315200</v>
      </c>
      <c r="I327" s="3">
        <v>5475</v>
      </c>
      <c r="J327" s="3">
        <v>3</v>
      </c>
      <c r="K327" s="10">
        <v>0</v>
      </c>
      <c r="L327" s="3">
        <v>33</v>
      </c>
      <c r="M327" s="3">
        <v>2</v>
      </c>
      <c r="N327" s="3">
        <v>0</v>
      </c>
      <c r="O327" s="3">
        <v>1</v>
      </c>
      <c r="P327" s="3">
        <v>6</v>
      </c>
      <c r="Q327" s="3">
        <v>10</v>
      </c>
    </row>
    <row r="328" spans="1:17" x14ac:dyDescent="0.35">
      <c r="A328">
        <v>2019</v>
      </c>
      <c r="B328" t="s">
        <v>14</v>
      </c>
      <c r="C328" t="s">
        <v>10</v>
      </c>
      <c r="D328" s="3">
        <v>59</v>
      </c>
      <c r="E328" s="3">
        <v>86</v>
      </c>
      <c r="F328" s="3">
        <v>145</v>
      </c>
      <c r="G328" s="3">
        <v>13</v>
      </c>
      <c r="H328" s="17">
        <v>320152000</v>
      </c>
      <c r="I328" s="3">
        <v>40623</v>
      </c>
      <c r="J328" s="3">
        <v>2</v>
      </c>
      <c r="K328" s="10">
        <v>0</v>
      </c>
      <c r="L328" s="3">
        <v>90</v>
      </c>
      <c r="M328" s="3">
        <v>3</v>
      </c>
      <c r="N328" s="3">
        <v>0</v>
      </c>
      <c r="O328" s="3">
        <v>3</v>
      </c>
      <c r="P328" s="3">
        <v>50</v>
      </c>
      <c r="Q328" s="3">
        <v>11</v>
      </c>
    </row>
    <row r="329" spans="1:17" x14ac:dyDescent="0.35">
      <c r="A329">
        <v>2019</v>
      </c>
      <c r="B329" t="s">
        <v>14</v>
      </c>
      <c r="C329" t="s">
        <v>11</v>
      </c>
      <c r="D329" s="3">
        <v>16</v>
      </c>
      <c r="E329" s="3">
        <v>101</v>
      </c>
      <c r="F329" s="3">
        <v>117</v>
      </c>
      <c r="G329" s="3">
        <v>5</v>
      </c>
      <c r="H329" s="17">
        <v>143744705</v>
      </c>
      <c r="I329" s="3">
        <v>16250</v>
      </c>
      <c r="J329" s="3">
        <v>0</v>
      </c>
      <c r="K329" s="10">
        <v>0</v>
      </c>
      <c r="L329" s="3">
        <v>68</v>
      </c>
      <c r="M329" s="3">
        <v>0</v>
      </c>
      <c r="N329" s="3">
        <v>0</v>
      </c>
      <c r="O329" s="3">
        <v>2</v>
      </c>
      <c r="P329" s="3">
        <v>45</v>
      </c>
      <c r="Q329" s="3">
        <v>0</v>
      </c>
    </row>
    <row r="330" spans="1:17" ht="16.5" customHeight="1" x14ac:dyDescent="0.35">
      <c r="A330">
        <v>2019</v>
      </c>
      <c r="B330" t="s">
        <v>14</v>
      </c>
      <c r="C330" t="s">
        <v>12</v>
      </c>
      <c r="D330" s="3">
        <v>15</v>
      </c>
      <c r="E330" s="3">
        <v>31</v>
      </c>
      <c r="F330" s="3">
        <v>46</v>
      </c>
      <c r="G330" s="3">
        <v>3</v>
      </c>
      <c r="H330" s="17">
        <v>76745478</v>
      </c>
      <c r="I330" s="3">
        <v>11555.69</v>
      </c>
      <c r="J330" s="3">
        <v>1</v>
      </c>
      <c r="K330" s="10">
        <v>0</v>
      </c>
      <c r="L330" s="3">
        <v>28</v>
      </c>
      <c r="M330" s="3">
        <v>6</v>
      </c>
      <c r="N330" s="3">
        <v>0</v>
      </c>
      <c r="O330" s="3">
        <v>2</v>
      </c>
      <c r="P330" s="3">
        <v>9</v>
      </c>
      <c r="Q330" s="3">
        <v>0</v>
      </c>
    </row>
    <row r="331" spans="1:17" x14ac:dyDescent="0.35">
      <c r="A331">
        <v>2019</v>
      </c>
      <c r="B331" t="s">
        <v>15</v>
      </c>
      <c r="C331" t="s">
        <v>8</v>
      </c>
      <c r="D331" s="3">
        <v>46</v>
      </c>
      <c r="E331" s="3">
        <v>98</v>
      </c>
      <c r="F331" s="3">
        <v>144</v>
      </c>
      <c r="G331" s="3">
        <v>10</v>
      </c>
      <c r="H331" s="17">
        <v>328954737</v>
      </c>
      <c r="I331" s="3">
        <v>44319.63</v>
      </c>
      <c r="J331" s="3">
        <v>0</v>
      </c>
      <c r="K331" s="10">
        <v>0</v>
      </c>
      <c r="L331" s="3">
        <v>71</v>
      </c>
      <c r="M331" s="3">
        <v>13</v>
      </c>
      <c r="N331" s="3">
        <v>0</v>
      </c>
      <c r="O331" s="3">
        <v>3</v>
      </c>
      <c r="P331" s="3">
        <v>57</v>
      </c>
      <c r="Q331" s="3">
        <v>11</v>
      </c>
    </row>
    <row r="332" spans="1:17" x14ac:dyDescent="0.35">
      <c r="A332">
        <v>2019</v>
      </c>
      <c r="B332" t="s">
        <v>15</v>
      </c>
      <c r="C332" t="s">
        <v>9</v>
      </c>
      <c r="D332" s="3">
        <v>6</v>
      </c>
      <c r="E332" s="3">
        <v>38</v>
      </c>
      <c r="F332" s="3">
        <v>44</v>
      </c>
      <c r="G332" s="3">
        <v>1</v>
      </c>
      <c r="H332" s="17">
        <v>36236300</v>
      </c>
      <c r="I332" s="3">
        <v>4165</v>
      </c>
      <c r="J332" s="3">
        <v>6</v>
      </c>
      <c r="K332" s="10">
        <v>0</v>
      </c>
      <c r="L332" s="3">
        <v>29</v>
      </c>
      <c r="M332" s="3">
        <v>1</v>
      </c>
      <c r="N332" s="3">
        <v>2</v>
      </c>
      <c r="O332" s="3">
        <v>1</v>
      </c>
      <c r="P332" s="3">
        <v>5</v>
      </c>
      <c r="Q332" s="3">
        <v>7</v>
      </c>
    </row>
    <row r="333" spans="1:17" x14ac:dyDescent="0.35">
      <c r="A333">
        <v>2019</v>
      </c>
      <c r="B333" t="s">
        <v>15</v>
      </c>
      <c r="C333" t="s">
        <v>10</v>
      </c>
      <c r="D333" s="3">
        <v>65</v>
      </c>
      <c r="E333" s="3">
        <v>99</v>
      </c>
      <c r="F333" s="3">
        <v>164</v>
      </c>
      <c r="G333" s="3">
        <v>7</v>
      </c>
      <c r="H333" s="17">
        <v>153940300</v>
      </c>
      <c r="I333" s="3">
        <v>13148</v>
      </c>
      <c r="J333" s="3">
        <v>0</v>
      </c>
      <c r="K333" s="10">
        <v>0</v>
      </c>
      <c r="L333" s="3">
        <v>95</v>
      </c>
      <c r="M333" s="3">
        <v>6</v>
      </c>
      <c r="N333" s="3">
        <v>0</v>
      </c>
      <c r="O333" s="3">
        <v>1</v>
      </c>
      <c r="P333" s="3">
        <v>62</v>
      </c>
      <c r="Q333" s="3">
        <v>10</v>
      </c>
    </row>
    <row r="334" spans="1:17" x14ac:dyDescent="0.35">
      <c r="A334">
        <v>2019</v>
      </c>
      <c r="B334" t="s">
        <v>15</v>
      </c>
      <c r="C334" t="s">
        <v>11</v>
      </c>
      <c r="D334" s="3">
        <v>4</v>
      </c>
      <c r="E334" s="3">
        <v>81</v>
      </c>
      <c r="F334" s="3">
        <v>85</v>
      </c>
      <c r="G334" s="3">
        <v>7</v>
      </c>
      <c r="H334" s="17">
        <v>94801300</v>
      </c>
      <c r="I334" s="3">
        <v>11053</v>
      </c>
      <c r="J334" s="3">
        <v>0</v>
      </c>
      <c r="K334" s="10">
        <v>0</v>
      </c>
      <c r="L334" s="3">
        <v>4</v>
      </c>
      <c r="M334" s="3">
        <v>45</v>
      </c>
      <c r="N334" s="3">
        <v>0</v>
      </c>
      <c r="O334" s="3">
        <v>0</v>
      </c>
      <c r="P334" s="3">
        <v>36</v>
      </c>
      <c r="Q334" s="3">
        <v>0</v>
      </c>
    </row>
    <row r="335" spans="1:17" ht="16.5" customHeight="1" x14ac:dyDescent="0.35">
      <c r="A335">
        <v>2019</v>
      </c>
      <c r="B335" t="s">
        <v>15</v>
      </c>
      <c r="C335" t="s">
        <v>12</v>
      </c>
      <c r="D335" s="3">
        <v>20</v>
      </c>
      <c r="E335" s="3">
        <v>39</v>
      </c>
      <c r="F335" s="3">
        <v>59</v>
      </c>
      <c r="G335" s="3">
        <v>7</v>
      </c>
      <c r="H335" s="17">
        <v>159447013</v>
      </c>
      <c r="I335" s="3">
        <v>19115.43</v>
      </c>
      <c r="J335" s="3">
        <v>0</v>
      </c>
      <c r="K335" s="10">
        <v>0</v>
      </c>
      <c r="L335" s="3">
        <v>33</v>
      </c>
      <c r="M335" s="3">
        <v>6</v>
      </c>
      <c r="N335" s="3">
        <v>0</v>
      </c>
      <c r="O335" s="3">
        <v>0</v>
      </c>
      <c r="P335" s="3">
        <v>20</v>
      </c>
      <c r="Q335" s="3">
        <v>0</v>
      </c>
    </row>
    <row r="336" spans="1:17" x14ac:dyDescent="0.35">
      <c r="A336">
        <v>2019</v>
      </c>
      <c r="B336" t="s">
        <v>16</v>
      </c>
      <c r="C336" t="s">
        <v>8</v>
      </c>
      <c r="D336" s="3">
        <v>40</v>
      </c>
      <c r="E336" s="3">
        <v>59</v>
      </c>
      <c r="F336" s="3">
        <v>99</v>
      </c>
      <c r="G336" s="3">
        <v>7</v>
      </c>
      <c r="H336" s="17">
        <v>111850825</v>
      </c>
      <c r="I336" s="3">
        <v>12324.81</v>
      </c>
      <c r="J336" s="3">
        <v>2</v>
      </c>
      <c r="K336" s="10">
        <v>0</v>
      </c>
      <c r="L336" s="3">
        <v>44</v>
      </c>
      <c r="M336" s="3">
        <v>7</v>
      </c>
      <c r="N336" s="3">
        <v>0</v>
      </c>
      <c r="O336" s="3">
        <v>0</v>
      </c>
      <c r="P336" s="3">
        <v>46</v>
      </c>
      <c r="Q336" s="3">
        <v>10</v>
      </c>
    </row>
    <row r="337" spans="1:17" x14ac:dyDescent="0.35">
      <c r="A337">
        <v>2019</v>
      </c>
      <c r="B337" t="s">
        <v>16</v>
      </c>
      <c r="C337" t="s">
        <v>9</v>
      </c>
      <c r="D337" s="3">
        <v>6</v>
      </c>
      <c r="E337" s="3">
        <v>34</v>
      </c>
      <c r="F337" s="3">
        <v>40</v>
      </c>
      <c r="G337" s="3">
        <v>2</v>
      </c>
      <c r="H337" s="17">
        <v>47991500</v>
      </c>
      <c r="I337" s="3">
        <v>5928</v>
      </c>
      <c r="J337" s="3">
        <v>6</v>
      </c>
      <c r="K337" s="10">
        <v>0</v>
      </c>
      <c r="L337" s="3">
        <v>21</v>
      </c>
      <c r="M337" s="3">
        <v>0</v>
      </c>
      <c r="N337" s="3">
        <v>1</v>
      </c>
      <c r="O337" s="3">
        <v>4</v>
      </c>
      <c r="P337" s="3">
        <v>8</v>
      </c>
      <c r="Q337" s="3">
        <v>17</v>
      </c>
    </row>
    <row r="338" spans="1:17" x14ac:dyDescent="0.35">
      <c r="A338">
        <v>2019</v>
      </c>
      <c r="B338" t="s">
        <v>16</v>
      </c>
      <c r="C338" t="s">
        <v>10</v>
      </c>
      <c r="D338" s="3">
        <v>48</v>
      </c>
      <c r="E338" s="3">
        <v>112</v>
      </c>
      <c r="F338" s="3">
        <v>160</v>
      </c>
      <c r="G338" s="3">
        <v>5</v>
      </c>
      <c r="H338" s="17">
        <v>161834100</v>
      </c>
      <c r="I338" s="3">
        <v>23181</v>
      </c>
      <c r="J338" s="3">
        <v>0</v>
      </c>
      <c r="K338" s="10">
        <v>0</v>
      </c>
      <c r="L338" s="3">
        <v>105</v>
      </c>
      <c r="M338" s="3">
        <v>6</v>
      </c>
      <c r="N338" s="3">
        <v>0</v>
      </c>
      <c r="O338" s="3">
        <v>2</v>
      </c>
      <c r="P338" s="3">
        <v>47</v>
      </c>
      <c r="Q338" s="3">
        <v>13</v>
      </c>
    </row>
    <row r="339" spans="1:17" x14ac:dyDescent="0.35">
      <c r="A339">
        <v>2019</v>
      </c>
      <c r="B339" t="s">
        <v>16</v>
      </c>
      <c r="C339" t="s">
        <v>11</v>
      </c>
      <c r="D339" s="3">
        <v>6</v>
      </c>
      <c r="E339" s="3">
        <v>29</v>
      </c>
      <c r="F339" s="3">
        <v>35</v>
      </c>
      <c r="G339" s="3">
        <v>3</v>
      </c>
      <c r="H339" s="17">
        <v>42038500</v>
      </c>
      <c r="I339" s="3">
        <v>4901</v>
      </c>
      <c r="J339" s="3">
        <v>0</v>
      </c>
      <c r="K339" s="10">
        <v>0</v>
      </c>
      <c r="L339" s="3">
        <v>18</v>
      </c>
      <c r="M339" s="3">
        <v>1</v>
      </c>
      <c r="N339" s="3">
        <v>0</v>
      </c>
      <c r="O339" s="3">
        <v>0</v>
      </c>
      <c r="P339" s="3">
        <v>16</v>
      </c>
      <c r="Q339" s="3">
        <v>0</v>
      </c>
    </row>
    <row r="340" spans="1:17" ht="16.5" customHeight="1" x14ac:dyDescent="0.35">
      <c r="A340">
        <v>2019</v>
      </c>
      <c r="B340" t="s">
        <v>16</v>
      </c>
      <c r="C340" t="s">
        <v>12</v>
      </c>
      <c r="D340" s="3">
        <v>25</v>
      </c>
      <c r="E340" s="3">
        <v>67</v>
      </c>
      <c r="F340" s="3">
        <v>92</v>
      </c>
      <c r="G340" s="3">
        <v>5</v>
      </c>
      <c r="H340" s="17">
        <v>107342240</v>
      </c>
      <c r="I340" s="3">
        <v>11962.4</v>
      </c>
      <c r="J340" s="3">
        <v>1</v>
      </c>
      <c r="K340" s="10">
        <v>0</v>
      </c>
      <c r="L340" s="3">
        <v>49</v>
      </c>
      <c r="M340" s="3">
        <v>6</v>
      </c>
      <c r="N340" s="3">
        <v>1</v>
      </c>
      <c r="O340" s="3">
        <v>0</v>
      </c>
      <c r="P340" s="3">
        <v>35</v>
      </c>
      <c r="Q340" s="3">
        <v>0</v>
      </c>
    </row>
    <row r="341" spans="1:17" x14ac:dyDescent="0.35">
      <c r="A341">
        <v>2019</v>
      </c>
      <c r="B341" t="s">
        <v>17</v>
      </c>
      <c r="C341" t="s">
        <v>8</v>
      </c>
      <c r="D341" s="3">
        <v>51</v>
      </c>
      <c r="E341" s="3">
        <v>80</v>
      </c>
      <c r="F341" s="3">
        <v>131</v>
      </c>
      <c r="G341" s="3">
        <v>5</v>
      </c>
      <c r="H341" s="17">
        <v>157058000</v>
      </c>
      <c r="I341" s="3">
        <v>16804</v>
      </c>
      <c r="J341" s="3">
        <v>0</v>
      </c>
      <c r="K341" s="10">
        <v>0</v>
      </c>
      <c r="L341" s="3">
        <v>84</v>
      </c>
      <c r="M341" s="3">
        <v>0</v>
      </c>
      <c r="N341" s="3">
        <v>1</v>
      </c>
      <c r="O341" s="3">
        <v>0</v>
      </c>
      <c r="P341" s="3">
        <v>46</v>
      </c>
      <c r="Q341" s="3">
        <v>11</v>
      </c>
    </row>
    <row r="342" spans="1:17" x14ac:dyDescent="0.35">
      <c r="A342">
        <v>2019</v>
      </c>
      <c r="B342" t="s">
        <v>17</v>
      </c>
      <c r="C342" t="s">
        <v>9</v>
      </c>
      <c r="D342" s="3">
        <v>3</v>
      </c>
      <c r="E342" s="3">
        <v>51</v>
      </c>
      <c r="F342" s="3">
        <v>54</v>
      </c>
      <c r="G342" s="3">
        <v>5</v>
      </c>
      <c r="H342" s="17">
        <v>200479800</v>
      </c>
      <c r="I342" s="3">
        <v>21063</v>
      </c>
      <c r="J342" s="3">
        <v>7</v>
      </c>
      <c r="K342" s="10">
        <v>0</v>
      </c>
      <c r="L342" s="3">
        <v>35</v>
      </c>
      <c r="M342" s="3">
        <v>1</v>
      </c>
      <c r="N342" s="3">
        <v>2</v>
      </c>
      <c r="O342" s="3">
        <v>4</v>
      </c>
      <c r="P342" s="3">
        <v>5</v>
      </c>
      <c r="Q342" s="3">
        <v>5</v>
      </c>
    </row>
    <row r="343" spans="1:17" x14ac:dyDescent="0.35">
      <c r="A343">
        <v>2019</v>
      </c>
      <c r="B343" t="s">
        <v>17</v>
      </c>
      <c r="C343" t="s">
        <v>10</v>
      </c>
      <c r="D343" s="3">
        <v>65</v>
      </c>
      <c r="E343" s="3">
        <v>125</v>
      </c>
      <c r="F343" s="3">
        <v>190</v>
      </c>
      <c r="G343" s="3">
        <v>5</v>
      </c>
      <c r="H343" s="17">
        <v>161041400</v>
      </c>
      <c r="I343" s="3">
        <v>18824</v>
      </c>
      <c r="J343" s="3">
        <v>2</v>
      </c>
      <c r="K343" s="10">
        <v>0</v>
      </c>
      <c r="L343" s="3">
        <v>120</v>
      </c>
      <c r="M343" s="3">
        <v>6</v>
      </c>
      <c r="N343" s="3">
        <v>0</v>
      </c>
      <c r="O343" s="3">
        <v>1</v>
      </c>
      <c r="P343" s="3">
        <v>61</v>
      </c>
      <c r="Q343" s="3">
        <v>16</v>
      </c>
    </row>
    <row r="344" spans="1:17" x14ac:dyDescent="0.35">
      <c r="A344">
        <v>2019</v>
      </c>
      <c r="B344" t="s">
        <v>17</v>
      </c>
      <c r="C344" t="s">
        <v>11</v>
      </c>
      <c r="D344" s="3">
        <v>13</v>
      </c>
      <c r="E344" s="3">
        <v>83</v>
      </c>
      <c r="F344" s="3">
        <v>96</v>
      </c>
      <c r="G344" s="3">
        <v>11</v>
      </c>
      <c r="H344" s="17">
        <v>174491000</v>
      </c>
      <c r="I344" s="3">
        <v>18512</v>
      </c>
      <c r="J344" s="3">
        <v>0</v>
      </c>
      <c r="K344" s="10">
        <v>0</v>
      </c>
      <c r="L344" s="3">
        <v>55</v>
      </c>
      <c r="M344" s="3">
        <v>3</v>
      </c>
      <c r="N344" s="3">
        <v>0</v>
      </c>
      <c r="O344" s="3">
        <v>1</v>
      </c>
      <c r="P344" s="3">
        <v>37</v>
      </c>
      <c r="Q344" s="3">
        <v>0</v>
      </c>
    </row>
    <row r="345" spans="1:17" ht="16.5" customHeight="1" x14ac:dyDescent="0.35">
      <c r="A345">
        <v>2019</v>
      </c>
      <c r="B345" t="s">
        <v>17</v>
      </c>
      <c r="C345" t="s">
        <v>12</v>
      </c>
      <c r="D345" s="3">
        <v>25</v>
      </c>
      <c r="E345" s="3">
        <v>66</v>
      </c>
      <c r="F345" s="3">
        <v>91</v>
      </c>
      <c r="G345" s="3">
        <v>5</v>
      </c>
      <c r="H345" s="17">
        <v>106490940</v>
      </c>
      <c r="I345" s="3">
        <v>11837.4</v>
      </c>
      <c r="J345" s="3">
        <v>1</v>
      </c>
      <c r="K345" s="10">
        <v>0</v>
      </c>
      <c r="L345" s="3">
        <v>49</v>
      </c>
      <c r="M345" s="3">
        <v>6</v>
      </c>
      <c r="N345" s="3">
        <v>1</v>
      </c>
      <c r="O345" s="3">
        <v>0</v>
      </c>
      <c r="P345" s="3">
        <v>34</v>
      </c>
      <c r="Q345" s="3">
        <v>0</v>
      </c>
    </row>
    <row r="346" spans="1:17" x14ac:dyDescent="0.35">
      <c r="A346">
        <v>2019</v>
      </c>
      <c r="B346" t="s">
        <v>18</v>
      </c>
      <c r="C346" t="s">
        <v>8</v>
      </c>
      <c r="D346" s="3">
        <v>33</v>
      </c>
      <c r="E346" s="3">
        <v>90</v>
      </c>
      <c r="F346" s="3">
        <v>123</v>
      </c>
      <c r="G346" s="3">
        <v>8</v>
      </c>
      <c r="H346" s="17">
        <v>516405400</v>
      </c>
      <c r="I346" s="3">
        <v>64982</v>
      </c>
      <c r="J346" s="3">
        <v>0</v>
      </c>
      <c r="K346" s="10">
        <v>0</v>
      </c>
      <c r="L346" s="3">
        <v>67</v>
      </c>
      <c r="M346" s="3">
        <v>9</v>
      </c>
      <c r="N346" s="3">
        <v>1</v>
      </c>
      <c r="O346" s="3">
        <v>2</v>
      </c>
      <c r="P346" s="3">
        <v>44</v>
      </c>
      <c r="Q346" s="3">
        <v>10</v>
      </c>
    </row>
    <row r="347" spans="1:17" x14ac:dyDescent="0.35">
      <c r="A347">
        <v>2019</v>
      </c>
      <c r="B347" t="s">
        <v>18</v>
      </c>
      <c r="C347" t="s">
        <v>9</v>
      </c>
      <c r="D347" s="3">
        <v>3</v>
      </c>
      <c r="E347" s="3">
        <v>24</v>
      </c>
      <c r="F347" s="3">
        <v>27</v>
      </c>
      <c r="G347" s="3">
        <v>2</v>
      </c>
      <c r="H347" s="17">
        <v>41174705</v>
      </c>
      <c r="I347" s="3">
        <v>5022</v>
      </c>
      <c r="J347" s="3">
        <v>8</v>
      </c>
      <c r="K347" s="10">
        <v>0</v>
      </c>
      <c r="L347" s="3">
        <v>16</v>
      </c>
      <c r="M347" s="3">
        <v>0</v>
      </c>
      <c r="N347" s="3">
        <v>0</v>
      </c>
      <c r="O347" s="3">
        <v>3</v>
      </c>
      <c r="P347" s="3">
        <v>7</v>
      </c>
      <c r="Q347" s="3">
        <v>9</v>
      </c>
    </row>
    <row r="348" spans="1:17" x14ac:dyDescent="0.35">
      <c r="A348">
        <v>2019</v>
      </c>
      <c r="B348" t="s">
        <v>18</v>
      </c>
      <c r="C348" t="s">
        <v>10</v>
      </c>
      <c r="D348" s="3">
        <v>68</v>
      </c>
      <c r="E348" s="3">
        <v>120</v>
      </c>
      <c r="F348" s="3">
        <v>188</v>
      </c>
      <c r="G348" s="3">
        <v>15</v>
      </c>
      <c r="H348" s="17">
        <v>345996100</v>
      </c>
      <c r="I348" s="3">
        <v>46724</v>
      </c>
      <c r="J348" s="3">
        <v>7</v>
      </c>
      <c r="K348" s="10">
        <v>0</v>
      </c>
      <c r="L348" s="3">
        <v>118</v>
      </c>
      <c r="M348" s="3">
        <v>9</v>
      </c>
      <c r="N348" s="3">
        <v>0</v>
      </c>
      <c r="O348" s="3">
        <v>2</v>
      </c>
      <c r="P348" s="3">
        <v>52</v>
      </c>
      <c r="Q348" s="3">
        <v>10</v>
      </c>
    </row>
    <row r="349" spans="1:17" x14ac:dyDescent="0.35">
      <c r="A349">
        <v>2019</v>
      </c>
      <c r="B349" t="s">
        <v>18</v>
      </c>
      <c r="C349" t="s">
        <v>11</v>
      </c>
      <c r="D349" s="3">
        <v>16</v>
      </c>
      <c r="E349" s="3">
        <v>69</v>
      </c>
      <c r="F349" s="3">
        <v>85</v>
      </c>
      <c r="G349" s="3">
        <v>6</v>
      </c>
      <c r="H349" s="17">
        <v>88876900</v>
      </c>
      <c r="I349" s="3">
        <v>7687</v>
      </c>
      <c r="J349" s="3">
        <v>0</v>
      </c>
      <c r="K349" s="10">
        <v>0</v>
      </c>
      <c r="L349" s="3">
        <v>41</v>
      </c>
      <c r="M349" s="3">
        <v>1</v>
      </c>
      <c r="N349" s="3">
        <v>0</v>
      </c>
      <c r="O349" s="3">
        <v>1</v>
      </c>
      <c r="P349" s="3">
        <v>42</v>
      </c>
      <c r="Q349" s="3">
        <v>0</v>
      </c>
    </row>
    <row r="350" spans="1:17" ht="16.5" customHeight="1" x14ac:dyDescent="0.35">
      <c r="A350">
        <v>2019</v>
      </c>
      <c r="B350" t="s">
        <v>18</v>
      </c>
      <c r="C350" t="s">
        <v>12</v>
      </c>
      <c r="D350" s="3">
        <v>28</v>
      </c>
      <c r="E350" s="3">
        <v>38</v>
      </c>
      <c r="F350" s="3">
        <v>66</v>
      </c>
      <c r="G350" s="3">
        <v>8</v>
      </c>
      <c r="H350" s="17">
        <v>144463190</v>
      </c>
      <c r="I350" s="3">
        <v>22032.3</v>
      </c>
      <c r="J350" s="3">
        <v>7</v>
      </c>
      <c r="K350" s="10">
        <v>0</v>
      </c>
      <c r="L350" s="3">
        <v>30</v>
      </c>
      <c r="M350" s="3">
        <v>8</v>
      </c>
      <c r="N350" s="3">
        <v>0</v>
      </c>
      <c r="O350" s="3">
        <v>2</v>
      </c>
      <c r="P350" s="3">
        <v>19</v>
      </c>
      <c r="Q350" s="3">
        <v>0</v>
      </c>
    </row>
    <row r="351" spans="1:17" x14ac:dyDescent="0.35">
      <c r="A351">
        <v>2019</v>
      </c>
      <c r="B351" t="s">
        <v>19</v>
      </c>
      <c r="C351" t="s">
        <v>8</v>
      </c>
      <c r="D351" s="3">
        <v>38</v>
      </c>
      <c r="E351" s="3">
        <v>61</v>
      </c>
      <c r="F351" s="3">
        <v>99</v>
      </c>
      <c r="G351" s="3">
        <v>4</v>
      </c>
      <c r="H351" s="17">
        <v>107908348</v>
      </c>
      <c r="I351" s="3">
        <v>12280.92</v>
      </c>
      <c r="J351" s="3">
        <v>1</v>
      </c>
      <c r="K351" s="10">
        <v>0</v>
      </c>
      <c r="L351" s="3">
        <v>56</v>
      </c>
      <c r="M351" s="3">
        <v>8</v>
      </c>
      <c r="N351" s="3">
        <v>0</v>
      </c>
      <c r="O351" s="3">
        <v>0</v>
      </c>
      <c r="P351" s="3">
        <v>34</v>
      </c>
      <c r="Q351" s="3">
        <v>0</v>
      </c>
    </row>
    <row r="352" spans="1:17" x14ac:dyDescent="0.35">
      <c r="A352">
        <v>2019</v>
      </c>
      <c r="B352" t="s">
        <v>19</v>
      </c>
      <c r="C352" t="s">
        <v>9</v>
      </c>
      <c r="D352" s="3">
        <v>5</v>
      </c>
      <c r="E352" s="3">
        <v>32</v>
      </c>
      <c r="F352" s="3">
        <v>37</v>
      </c>
      <c r="G352" s="3">
        <v>6</v>
      </c>
      <c r="H352" s="17">
        <v>96069802</v>
      </c>
      <c r="I352" s="3">
        <v>11435</v>
      </c>
      <c r="J352" s="3">
        <v>4</v>
      </c>
      <c r="K352" s="10">
        <v>0</v>
      </c>
      <c r="L352" s="3">
        <v>22</v>
      </c>
      <c r="M352" s="3">
        <v>4</v>
      </c>
      <c r="N352" s="3">
        <v>1</v>
      </c>
      <c r="O352" s="3">
        <v>1</v>
      </c>
      <c r="P352" s="3">
        <v>5</v>
      </c>
      <c r="Q352" s="3">
        <v>10</v>
      </c>
    </row>
    <row r="353" spans="1:17" x14ac:dyDescent="0.35">
      <c r="A353">
        <v>2019</v>
      </c>
      <c r="B353" t="s">
        <v>19</v>
      </c>
      <c r="C353" t="s">
        <v>10</v>
      </c>
      <c r="D353" s="3">
        <v>91</v>
      </c>
      <c r="E353" s="3">
        <v>111</v>
      </c>
      <c r="F353" s="3">
        <v>202</v>
      </c>
      <c r="G353" s="3">
        <v>9</v>
      </c>
      <c r="H353" s="17">
        <v>209621150</v>
      </c>
      <c r="I353" s="3">
        <v>23679</v>
      </c>
      <c r="J353" s="3">
        <v>4</v>
      </c>
      <c r="K353" s="10">
        <v>0</v>
      </c>
      <c r="L353" s="3">
        <v>106</v>
      </c>
      <c r="M353" s="3">
        <v>11</v>
      </c>
      <c r="N353" s="3">
        <v>0</v>
      </c>
      <c r="O353" s="3">
        <v>0</v>
      </c>
      <c r="P353" s="3">
        <v>81</v>
      </c>
      <c r="Q353" s="3">
        <v>11</v>
      </c>
    </row>
    <row r="354" spans="1:17" x14ac:dyDescent="0.35">
      <c r="A354">
        <v>2019</v>
      </c>
      <c r="B354" t="s">
        <v>19</v>
      </c>
      <c r="C354" t="s">
        <v>11</v>
      </c>
      <c r="D354" s="3">
        <v>7</v>
      </c>
      <c r="E354" s="3">
        <v>76</v>
      </c>
      <c r="F354" s="3">
        <v>83</v>
      </c>
      <c r="G354" s="3">
        <v>2</v>
      </c>
      <c r="H354" s="17">
        <v>66482200</v>
      </c>
      <c r="I354" s="3">
        <v>6078</v>
      </c>
      <c r="J354" s="3">
        <v>0</v>
      </c>
      <c r="K354" s="10">
        <v>0</v>
      </c>
      <c r="L354" s="3">
        <v>36</v>
      </c>
      <c r="M354" s="3">
        <v>0</v>
      </c>
      <c r="N354" s="3">
        <v>0</v>
      </c>
      <c r="O354" s="3">
        <v>0</v>
      </c>
      <c r="P354" s="3">
        <v>47</v>
      </c>
      <c r="Q354" s="3">
        <v>0</v>
      </c>
    </row>
    <row r="355" spans="1:17" ht="16.5" customHeight="1" x14ac:dyDescent="0.35">
      <c r="A355">
        <v>2019</v>
      </c>
      <c r="B355" t="s">
        <v>19</v>
      </c>
      <c r="C355" t="s">
        <v>12</v>
      </c>
      <c r="D355" s="3">
        <v>27</v>
      </c>
      <c r="E355" s="3">
        <v>36</v>
      </c>
      <c r="F355" s="3">
        <v>63</v>
      </c>
      <c r="G355" s="3">
        <v>6</v>
      </c>
      <c r="H355" s="17">
        <v>78922649.900000006</v>
      </c>
      <c r="I355" s="3">
        <v>10631.54</v>
      </c>
      <c r="J355" s="3">
        <v>6</v>
      </c>
      <c r="K355" s="10">
        <v>0</v>
      </c>
      <c r="L355" s="3">
        <v>39</v>
      </c>
      <c r="M355" s="3">
        <v>2</v>
      </c>
      <c r="N355" s="3">
        <v>0</v>
      </c>
      <c r="O355" s="3">
        <v>0</v>
      </c>
      <c r="P355" s="3">
        <v>16</v>
      </c>
      <c r="Q355" s="3">
        <v>0</v>
      </c>
    </row>
    <row r="356" spans="1:17" x14ac:dyDescent="0.35">
      <c r="A356">
        <v>2019</v>
      </c>
      <c r="B356" t="s">
        <v>20</v>
      </c>
      <c r="C356" t="s">
        <v>8</v>
      </c>
      <c r="D356" s="3">
        <v>27</v>
      </c>
      <c r="E356" s="3">
        <v>70</v>
      </c>
      <c r="F356" s="3">
        <v>97</v>
      </c>
      <c r="G356" s="3">
        <v>8</v>
      </c>
      <c r="H356" s="17">
        <v>103422974</v>
      </c>
      <c r="I356" s="3">
        <v>11176</v>
      </c>
      <c r="J356" s="3">
        <v>2</v>
      </c>
      <c r="K356" s="10">
        <v>0</v>
      </c>
      <c r="L356" s="3">
        <v>45</v>
      </c>
      <c r="M356" s="3">
        <v>6</v>
      </c>
      <c r="N356" s="3">
        <v>0</v>
      </c>
      <c r="O356" s="3">
        <v>0</v>
      </c>
      <c r="P356" s="3">
        <v>44</v>
      </c>
      <c r="Q356" s="3">
        <v>9</v>
      </c>
    </row>
    <row r="357" spans="1:17" x14ac:dyDescent="0.35">
      <c r="A357">
        <v>2019</v>
      </c>
      <c r="B357" t="s">
        <v>20</v>
      </c>
      <c r="C357" t="s">
        <v>9</v>
      </c>
      <c r="D357" s="3">
        <v>9</v>
      </c>
      <c r="E357" s="3">
        <v>35</v>
      </c>
      <c r="F357" s="3">
        <v>44</v>
      </c>
      <c r="G357" s="3">
        <v>4</v>
      </c>
      <c r="H357" s="17">
        <v>70823800</v>
      </c>
      <c r="I357" s="3">
        <v>9250</v>
      </c>
      <c r="J357" s="3">
        <v>3</v>
      </c>
      <c r="K357" s="10">
        <v>0</v>
      </c>
      <c r="L357" s="3">
        <v>26</v>
      </c>
      <c r="M357" s="3">
        <v>1</v>
      </c>
      <c r="N357" s="3">
        <v>1</v>
      </c>
      <c r="O357" s="3">
        <v>2</v>
      </c>
      <c r="P357" s="3">
        <v>11</v>
      </c>
      <c r="Q357" s="3">
        <v>5</v>
      </c>
    </row>
    <row r="358" spans="1:17" x14ac:dyDescent="0.35">
      <c r="A358">
        <v>2019</v>
      </c>
      <c r="B358" t="s">
        <v>20</v>
      </c>
      <c r="C358" t="s">
        <v>10</v>
      </c>
      <c r="D358" s="3">
        <v>31</v>
      </c>
      <c r="E358" s="3">
        <v>108</v>
      </c>
      <c r="F358" s="3">
        <v>139</v>
      </c>
      <c r="G358" s="3">
        <v>16</v>
      </c>
      <c r="H358" s="17">
        <v>318451900</v>
      </c>
      <c r="I358" s="3">
        <v>36520</v>
      </c>
      <c r="J358" s="3">
        <v>0</v>
      </c>
      <c r="K358" s="10">
        <v>0</v>
      </c>
      <c r="L358" s="3">
        <v>83</v>
      </c>
      <c r="M358" s="3">
        <v>8</v>
      </c>
      <c r="N358" s="3">
        <v>1</v>
      </c>
      <c r="O358" s="3">
        <v>4</v>
      </c>
      <c r="P358" s="3">
        <v>43</v>
      </c>
      <c r="Q358" s="3">
        <v>7</v>
      </c>
    </row>
    <row r="359" spans="1:17" x14ac:dyDescent="0.35">
      <c r="A359">
        <v>2019</v>
      </c>
      <c r="B359" t="s">
        <v>20</v>
      </c>
      <c r="C359" t="s">
        <v>11</v>
      </c>
      <c r="D359" s="3">
        <v>2</v>
      </c>
      <c r="E359" s="3">
        <v>79</v>
      </c>
      <c r="F359" s="3">
        <v>81</v>
      </c>
      <c r="G359" s="3">
        <v>3</v>
      </c>
      <c r="H359" s="17">
        <v>92725100</v>
      </c>
      <c r="I359" s="3">
        <v>10469</v>
      </c>
      <c r="J359" s="3">
        <v>0</v>
      </c>
      <c r="K359" s="10">
        <v>0</v>
      </c>
      <c r="L359" s="3">
        <v>50</v>
      </c>
      <c r="M359" s="3">
        <v>1</v>
      </c>
      <c r="N359" s="3">
        <v>1</v>
      </c>
      <c r="O359" s="3">
        <v>0</v>
      </c>
      <c r="P359" s="3">
        <v>29</v>
      </c>
      <c r="Q359" s="3">
        <v>0</v>
      </c>
    </row>
    <row r="360" spans="1:17" ht="15.75" customHeight="1" x14ac:dyDescent="0.35">
      <c r="A360">
        <v>2019</v>
      </c>
      <c r="B360" t="s">
        <v>20</v>
      </c>
      <c r="C360" t="s">
        <v>12</v>
      </c>
      <c r="D360" s="3">
        <v>9</v>
      </c>
      <c r="E360" s="3">
        <v>33</v>
      </c>
      <c r="F360" s="3">
        <v>42</v>
      </c>
      <c r="G360" s="3">
        <v>3</v>
      </c>
      <c r="H360" s="17">
        <v>93719454</v>
      </c>
      <c r="I360" s="3">
        <v>14080</v>
      </c>
      <c r="J360" s="3">
        <v>1</v>
      </c>
      <c r="K360" s="10">
        <v>0</v>
      </c>
      <c r="L360" s="3">
        <v>27</v>
      </c>
      <c r="M360" s="3">
        <v>0</v>
      </c>
      <c r="N360" s="3">
        <v>0</v>
      </c>
      <c r="O360" s="3">
        <v>1</v>
      </c>
      <c r="P360" s="3">
        <v>13</v>
      </c>
      <c r="Q360" s="3">
        <v>0</v>
      </c>
    </row>
    <row r="361" spans="1:17" x14ac:dyDescent="0.35">
      <c r="A361">
        <v>2019</v>
      </c>
      <c r="B361" t="s">
        <v>21</v>
      </c>
      <c r="C361" t="s">
        <v>8</v>
      </c>
      <c r="D361" s="3">
        <v>37</v>
      </c>
      <c r="E361" s="3">
        <v>92</v>
      </c>
      <c r="F361" s="3">
        <v>129</v>
      </c>
      <c r="G361" s="3">
        <v>8</v>
      </c>
      <c r="H361" s="17">
        <v>610589700</v>
      </c>
      <c r="I361" s="3">
        <v>89101</v>
      </c>
      <c r="J361" s="3">
        <v>0</v>
      </c>
      <c r="K361" s="10">
        <v>0</v>
      </c>
      <c r="L361" s="3">
        <v>49</v>
      </c>
      <c r="M361" s="3">
        <v>9</v>
      </c>
      <c r="N361" s="3">
        <v>0</v>
      </c>
      <c r="O361" s="3">
        <v>3</v>
      </c>
      <c r="P361" s="3">
        <v>68</v>
      </c>
      <c r="Q361" s="3">
        <v>0</v>
      </c>
    </row>
    <row r="362" spans="1:17" x14ac:dyDescent="0.35">
      <c r="A362">
        <v>2019</v>
      </c>
      <c r="B362" t="s">
        <v>21</v>
      </c>
      <c r="C362" t="s">
        <v>9</v>
      </c>
      <c r="D362" s="3">
        <v>1</v>
      </c>
      <c r="E362" s="3">
        <v>23</v>
      </c>
      <c r="F362" s="3">
        <v>24</v>
      </c>
      <c r="G362" s="3">
        <v>0</v>
      </c>
      <c r="H362" s="17">
        <v>18019650</v>
      </c>
      <c r="I362" s="3">
        <v>2073</v>
      </c>
      <c r="J362" s="3">
        <v>4</v>
      </c>
      <c r="K362" s="10">
        <v>0</v>
      </c>
      <c r="L362" s="3">
        <v>17</v>
      </c>
      <c r="M362" s="3">
        <v>1</v>
      </c>
      <c r="N362" s="3">
        <v>0</v>
      </c>
      <c r="O362" s="3">
        <v>0</v>
      </c>
      <c r="P362" s="3">
        <v>2</v>
      </c>
      <c r="Q362" s="3">
        <v>8</v>
      </c>
    </row>
    <row r="363" spans="1:17" x14ac:dyDescent="0.35">
      <c r="A363">
        <v>2019</v>
      </c>
      <c r="B363" t="s">
        <v>21</v>
      </c>
      <c r="C363" t="s">
        <v>10</v>
      </c>
      <c r="D363" s="3">
        <v>43</v>
      </c>
      <c r="E363" s="3">
        <v>115</v>
      </c>
      <c r="F363" s="3">
        <v>158</v>
      </c>
      <c r="G363" s="3">
        <v>10</v>
      </c>
      <c r="H363" s="17">
        <v>367598700</v>
      </c>
      <c r="I363" s="3">
        <v>43763</v>
      </c>
      <c r="J363" s="3">
        <v>0</v>
      </c>
      <c r="K363" s="10">
        <v>0</v>
      </c>
      <c r="L363" s="3">
        <v>97</v>
      </c>
      <c r="M363" s="3">
        <v>5</v>
      </c>
      <c r="N363" s="3">
        <v>1</v>
      </c>
      <c r="O363" s="3">
        <v>2</v>
      </c>
      <c r="P363" s="3">
        <v>53</v>
      </c>
      <c r="Q363" s="3">
        <v>0</v>
      </c>
    </row>
    <row r="364" spans="1:17" x14ac:dyDescent="0.35">
      <c r="A364">
        <v>2019</v>
      </c>
      <c r="B364" t="s">
        <v>21</v>
      </c>
      <c r="C364" t="s">
        <v>11</v>
      </c>
      <c r="D364" s="3">
        <v>7</v>
      </c>
      <c r="E364" s="3">
        <v>75</v>
      </c>
      <c r="F364" s="3">
        <v>82</v>
      </c>
      <c r="G364" s="3">
        <v>2</v>
      </c>
      <c r="H364" s="17">
        <v>140671100</v>
      </c>
      <c r="I364" s="3">
        <v>15405</v>
      </c>
      <c r="J364" s="3">
        <v>0</v>
      </c>
      <c r="K364" s="10">
        <v>0</v>
      </c>
      <c r="L364" s="3">
        <v>46</v>
      </c>
      <c r="M364" s="3">
        <v>3</v>
      </c>
      <c r="N364" s="3">
        <v>0</v>
      </c>
      <c r="O364" s="3">
        <v>0</v>
      </c>
      <c r="P364" s="3">
        <v>33</v>
      </c>
      <c r="Q364" s="3">
        <v>0</v>
      </c>
    </row>
    <row r="365" spans="1:17" ht="15.75" customHeight="1" x14ac:dyDescent="0.35">
      <c r="A365">
        <v>2019</v>
      </c>
      <c r="B365" t="s">
        <v>21</v>
      </c>
      <c r="C365" t="s">
        <v>12</v>
      </c>
      <c r="D365" s="3">
        <v>28</v>
      </c>
      <c r="E365" s="3">
        <v>43</v>
      </c>
      <c r="F365" s="3">
        <v>71</v>
      </c>
      <c r="G365" s="3">
        <v>8</v>
      </c>
      <c r="H365" s="17">
        <v>172688125</v>
      </c>
      <c r="I365" s="3">
        <v>18689.55</v>
      </c>
      <c r="J365" s="3">
        <v>3</v>
      </c>
      <c r="K365" s="10">
        <v>0</v>
      </c>
      <c r="L365" s="3">
        <v>25</v>
      </c>
      <c r="M365" s="3">
        <v>17</v>
      </c>
      <c r="N365" s="3">
        <v>0</v>
      </c>
      <c r="O365" s="3">
        <v>2</v>
      </c>
      <c r="P365" s="3">
        <v>24</v>
      </c>
      <c r="Q365" s="3">
        <v>11</v>
      </c>
    </row>
    <row r="366" spans="1:17" x14ac:dyDescent="0.35">
      <c r="A366">
        <v>2018</v>
      </c>
      <c r="B366" t="s">
        <v>7</v>
      </c>
      <c r="C366" t="s">
        <v>8</v>
      </c>
      <c r="D366" s="3">
        <v>12</v>
      </c>
      <c r="E366" s="3">
        <v>71</v>
      </c>
      <c r="F366" s="3">
        <v>97</v>
      </c>
      <c r="G366" s="3">
        <v>12</v>
      </c>
      <c r="H366" s="17">
        <v>1021175174</v>
      </c>
      <c r="I366" s="3">
        <v>116892.26</v>
      </c>
      <c r="J366" s="3">
        <v>0</v>
      </c>
      <c r="K366" s="10">
        <v>0</v>
      </c>
      <c r="L366" s="3">
        <v>43</v>
      </c>
      <c r="M366" s="3">
        <v>8</v>
      </c>
      <c r="N366" s="3">
        <v>1</v>
      </c>
      <c r="O366" s="3">
        <v>2</v>
      </c>
      <c r="P366" s="3">
        <v>29</v>
      </c>
      <c r="Q366" s="3">
        <v>9</v>
      </c>
    </row>
    <row r="367" spans="1:17" x14ac:dyDescent="0.35">
      <c r="A367">
        <v>2018</v>
      </c>
      <c r="B367" t="s">
        <v>7</v>
      </c>
      <c r="C367" t="s">
        <v>9</v>
      </c>
      <c r="D367" s="3">
        <v>45</v>
      </c>
      <c r="E367" s="3">
        <v>119</v>
      </c>
      <c r="F367" s="3">
        <v>44</v>
      </c>
      <c r="G367" s="3">
        <v>12</v>
      </c>
      <c r="H367" s="17">
        <v>402659000</v>
      </c>
      <c r="I367" s="3">
        <v>42774</v>
      </c>
      <c r="J367" s="3">
        <v>1</v>
      </c>
      <c r="K367" s="10">
        <v>0</v>
      </c>
      <c r="L367" s="3">
        <v>93</v>
      </c>
      <c r="M367" s="3">
        <v>7</v>
      </c>
      <c r="N367" s="3">
        <v>1</v>
      </c>
      <c r="O367" s="3">
        <v>2</v>
      </c>
      <c r="P367" s="3">
        <v>60</v>
      </c>
      <c r="Q367" s="3">
        <v>6</v>
      </c>
    </row>
    <row r="368" spans="1:17" x14ac:dyDescent="0.35">
      <c r="A368">
        <v>2018</v>
      </c>
      <c r="B368" t="s">
        <v>7</v>
      </c>
      <c r="C368" t="s">
        <v>10</v>
      </c>
      <c r="D368" s="3">
        <v>10</v>
      </c>
      <c r="E368" s="3">
        <v>69</v>
      </c>
      <c r="F368" s="3">
        <v>139</v>
      </c>
      <c r="G368" s="3">
        <v>6</v>
      </c>
      <c r="H368" s="17">
        <v>295704500</v>
      </c>
      <c r="I368" s="3">
        <v>10233</v>
      </c>
      <c r="J368" s="3">
        <v>0</v>
      </c>
      <c r="K368" s="10">
        <v>0</v>
      </c>
      <c r="L368" s="3">
        <v>29</v>
      </c>
      <c r="M368" s="3">
        <v>2</v>
      </c>
      <c r="N368" s="3">
        <v>0</v>
      </c>
      <c r="O368" s="3">
        <v>0</v>
      </c>
      <c r="P368" s="3">
        <v>48</v>
      </c>
      <c r="Q368" s="3">
        <v>0</v>
      </c>
    </row>
    <row r="369" spans="1:17" x14ac:dyDescent="0.35">
      <c r="A369">
        <v>2018</v>
      </c>
      <c r="B369" t="s">
        <v>7</v>
      </c>
      <c r="C369" t="s">
        <v>11</v>
      </c>
      <c r="D369" s="3">
        <v>28</v>
      </c>
      <c r="E369" s="3">
        <v>21</v>
      </c>
      <c r="F369" s="3">
        <v>81</v>
      </c>
      <c r="G369" s="3">
        <v>3</v>
      </c>
      <c r="H369" s="17">
        <v>49528421.600000001</v>
      </c>
      <c r="I369" s="3">
        <v>5154.1400000000003</v>
      </c>
      <c r="J369" s="3">
        <v>10</v>
      </c>
      <c r="K369" s="10">
        <v>0</v>
      </c>
      <c r="L369" s="3">
        <v>22</v>
      </c>
      <c r="M369" s="3">
        <v>8</v>
      </c>
      <c r="N369" s="3">
        <v>0</v>
      </c>
      <c r="O369" s="3">
        <v>0</v>
      </c>
      <c r="P369" s="3">
        <v>10</v>
      </c>
      <c r="Q369" s="3">
        <v>0</v>
      </c>
    </row>
    <row r="370" spans="1:17" ht="15.75" customHeight="1" x14ac:dyDescent="0.35">
      <c r="A370">
        <v>2018</v>
      </c>
      <c r="B370" t="s">
        <v>7</v>
      </c>
      <c r="C370" t="s">
        <v>12</v>
      </c>
      <c r="D370" s="3">
        <v>33</v>
      </c>
      <c r="E370" s="3">
        <v>108</v>
      </c>
      <c r="F370" s="3">
        <v>42</v>
      </c>
      <c r="G370" s="3">
        <v>14</v>
      </c>
      <c r="H370" s="17">
        <v>223224184</v>
      </c>
      <c r="I370" s="3">
        <v>26547.22</v>
      </c>
      <c r="J370" s="3">
        <v>1</v>
      </c>
      <c r="K370" s="10">
        <v>0</v>
      </c>
      <c r="L370" s="3">
        <v>60</v>
      </c>
      <c r="M370" s="3">
        <v>17</v>
      </c>
      <c r="N370" s="3">
        <v>0</v>
      </c>
      <c r="O370" s="3">
        <v>1</v>
      </c>
      <c r="P370" s="3">
        <v>62</v>
      </c>
      <c r="Q370" s="3">
        <v>7</v>
      </c>
    </row>
    <row r="371" spans="1:17" x14ac:dyDescent="0.35">
      <c r="A371">
        <v>2018</v>
      </c>
      <c r="B371" t="s">
        <v>27</v>
      </c>
      <c r="C371" t="s">
        <v>8</v>
      </c>
      <c r="D371" s="3">
        <v>3</v>
      </c>
      <c r="E371" s="3">
        <v>34</v>
      </c>
      <c r="F371" s="3">
        <v>129</v>
      </c>
      <c r="G371" s="3">
        <v>1</v>
      </c>
      <c r="H371" s="17">
        <v>25337600</v>
      </c>
      <c r="I371" s="3">
        <v>3264</v>
      </c>
      <c r="J371" s="3">
        <v>7</v>
      </c>
      <c r="K371" s="10">
        <v>0</v>
      </c>
      <c r="L371" s="3">
        <v>25</v>
      </c>
      <c r="M371" s="3">
        <v>0</v>
      </c>
      <c r="N371" s="3">
        <v>0</v>
      </c>
      <c r="O371" s="3">
        <v>2</v>
      </c>
      <c r="P371" s="3">
        <v>3</v>
      </c>
      <c r="Q371" s="3">
        <v>7</v>
      </c>
    </row>
    <row r="372" spans="1:17" x14ac:dyDescent="0.35">
      <c r="A372">
        <v>2018</v>
      </c>
      <c r="B372" t="s">
        <v>27</v>
      </c>
      <c r="C372" t="s">
        <v>10</v>
      </c>
      <c r="D372" s="3">
        <v>88</v>
      </c>
      <c r="E372" s="3">
        <v>118</v>
      </c>
      <c r="F372" s="3">
        <v>24</v>
      </c>
      <c r="G372" s="3">
        <v>11</v>
      </c>
      <c r="H372" s="17">
        <v>907247077</v>
      </c>
      <c r="I372" s="3">
        <v>167122</v>
      </c>
      <c r="J372" s="3">
        <v>5</v>
      </c>
      <c r="K372" s="10">
        <v>0</v>
      </c>
      <c r="L372" s="3">
        <v>123</v>
      </c>
      <c r="M372" s="3">
        <v>9</v>
      </c>
      <c r="N372" s="3">
        <v>0</v>
      </c>
      <c r="O372" s="3">
        <v>2</v>
      </c>
      <c r="P372" s="3">
        <v>67</v>
      </c>
      <c r="Q372" s="3">
        <v>2</v>
      </c>
    </row>
    <row r="373" spans="1:17" x14ac:dyDescent="0.35">
      <c r="A373">
        <v>2018</v>
      </c>
      <c r="B373" t="s">
        <v>27</v>
      </c>
      <c r="C373" t="s">
        <v>11</v>
      </c>
      <c r="D373" s="3">
        <v>16</v>
      </c>
      <c r="E373" s="3">
        <v>78</v>
      </c>
      <c r="F373" s="3">
        <v>158</v>
      </c>
      <c r="G373" s="3">
        <v>4</v>
      </c>
      <c r="H373" s="17">
        <v>91654400</v>
      </c>
      <c r="I373" s="3">
        <v>9308</v>
      </c>
      <c r="J373" s="3">
        <v>0</v>
      </c>
      <c r="K373" s="10">
        <v>0</v>
      </c>
      <c r="L373" s="3">
        <v>53</v>
      </c>
      <c r="M373" s="3">
        <v>1</v>
      </c>
      <c r="N373" s="3">
        <v>0</v>
      </c>
      <c r="O373" s="3">
        <v>0</v>
      </c>
      <c r="P373" s="3">
        <v>40</v>
      </c>
      <c r="Q373" s="3">
        <v>0</v>
      </c>
    </row>
    <row r="374" spans="1:17" x14ac:dyDescent="0.35">
      <c r="A374">
        <v>2018</v>
      </c>
      <c r="B374" t="s">
        <v>27</v>
      </c>
      <c r="C374" t="s">
        <v>12</v>
      </c>
      <c r="D374" s="3">
        <v>24</v>
      </c>
      <c r="E374" s="3">
        <v>55</v>
      </c>
      <c r="F374" s="3">
        <v>82</v>
      </c>
      <c r="G374" s="3">
        <v>6</v>
      </c>
      <c r="H374" s="17">
        <v>208003709.5</v>
      </c>
      <c r="I374" s="3">
        <v>23882.31</v>
      </c>
      <c r="J374" s="3">
        <v>2</v>
      </c>
      <c r="K374" s="10">
        <v>0</v>
      </c>
      <c r="L374" s="3">
        <v>50</v>
      </c>
      <c r="M374" s="3">
        <v>9</v>
      </c>
      <c r="N374" s="3">
        <v>3</v>
      </c>
      <c r="O374" s="3">
        <v>0</v>
      </c>
      <c r="P374" s="3">
        <v>15</v>
      </c>
      <c r="Q374" s="3">
        <v>0</v>
      </c>
    </row>
    <row r="375" spans="1:17" ht="15.75" customHeight="1" x14ac:dyDescent="0.35">
      <c r="A375">
        <v>2018</v>
      </c>
      <c r="B375" t="s">
        <v>26</v>
      </c>
      <c r="C375" t="s">
        <v>8</v>
      </c>
      <c r="D375" s="3">
        <v>30</v>
      </c>
      <c r="E375" s="3">
        <v>106</v>
      </c>
      <c r="F375" s="3">
        <v>71</v>
      </c>
      <c r="G375" s="3">
        <v>10</v>
      </c>
      <c r="H375" s="17">
        <v>212549200</v>
      </c>
      <c r="I375" s="3">
        <v>25586</v>
      </c>
      <c r="J375" s="3">
        <v>0</v>
      </c>
      <c r="K375" s="10">
        <v>0</v>
      </c>
      <c r="L375" s="3">
        <v>66</v>
      </c>
      <c r="M375" s="3">
        <v>9</v>
      </c>
      <c r="N375" s="3">
        <v>0</v>
      </c>
      <c r="O375" s="3">
        <v>2</v>
      </c>
      <c r="P375" s="3">
        <v>59</v>
      </c>
      <c r="Q375" s="3">
        <v>6</v>
      </c>
    </row>
    <row r="376" spans="1:17" x14ac:dyDescent="0.35">
      <c r="A376">
        <v>2018</v>
      </c>
      <c r="B376" t="s">
        <v>26</v>
      </c>
      <c r="C376" t="s">
        <v>9</v>
      </c>
      <c r="D376" s="3">
        <v>6</v>
      </c>
      <c r="E376" s="3">
        <v>30</v>
      </c>
      <c r="F376" s="3">
        <v>83</v>
      </c>
      <c r="G376" s="3">
        <v>2</v>
      </c>
      <c r="H376" s="17">
        <v>73926800</v>
      </c>
      <c r="I376" s="3">
        <v>8232</v>
      </c>
      <c r="J376" s="3">
        <v>10</v>
      </c>
      <c r="K376" s="10">
        <v>0</v>
      </c>
      <c r="L376" s="3">
        <v>22</v>
      </c>
      <c r="M376" s="3">
        <v>1</v>
      </c>
      <c r="N376" s="3">
        <v>0</v>
      </c>
      <c r="O376" s="3">
        <v>0</v>
      </c>
      <c r="P376" s="3">
        <v>3</v>
      </c>
      <c r="Q376" s="3">
        <v>7</v>
      </c>
    </row>
    <row r="377" spans="1:17" ht="15" customHeight="1" x14ac:dyDescent="0.35">
      <c r="A377">
        <v>2018</v>
      </c>
      <c r="B377" t="s">
        <v>26</v>
      </c>
      <c r="C377" t="s">
        <v>10</v>
      </c>
      <c r="D377" s="3">
        <v>81</v>
      </c>
      <c r="E377" s="3">
        <v>161</v>
      </c>
      <c r="F377" s="3">
        <v>164</v>
      </c>
      <c r="G377" s="3">
        <v>18</v>
      </c>
      <c r="H377" s="17">
        <v>344198350</v>
      </c>
      <c r="I377" s="3">
        <v>38178</v>
      </c>
      <c r="J377" s="3">
        <v>1</v>
      </c>
      <c r="K377" s="10">
        <v>0</v>
      </c>
      <c r="L377" s="3">
        <v>146</v>
      </c>
      <c r="M377" s="3">
        <v>8</v>
      </c>
      <c r="N377" s="3">
        <v>1</v>
      </c>
      <c r="O377" s="3">
        <v>2</v>
      </c>
      <c r="P377" s="3">
        <v>84</v>
      </c>
      <c r="Q377" s="3">
        <v>13</v>
      </c>
    </row>
    <row r="378" spans="1:17" ht="15" customHeight="1" x14ac:dyDescent="0.35">
      <c r="A378">
        <v>2018</v>
      </c>
      <c r="B378" t="s">
        <v>26</v>
      </c>
      <c r="C378" t="s">
        <v>11</v>
      </c>
      <c r="D378" s="3">
        <v>12</v>
      </c>
      <c r="E378" s="3">
        <v>78</v>
      </c>
      <c r="F378" s="3">
        <v>79</v>
      </c>
      <c r="G378" s="3">
        <v>3</v>
      </c>
      <c r="H378" s="17">
        <v>105501900</v>
      </c>
      <c r="I378" s="3">
        <v>13225</v>
      </c>
      <c r="J378" s="3">
        <v>0</v>
      </c>
      <c r="K378" s="10">
        <v>0</v>
      </c>
      <c r="L378" s="3">
        <v>51</v>
      </c>
      <c r="M378" s="3">
        <v>1</v>
      </c>
      <c r="N378" s="3">
        <v>1</v>
      </c>
      <c r="O378" s="3">
        <v>1</v>
      </c>
      <c r="P378" s="3">
        <v>36</v>
      </c>
      <c r="Q378" s="3">
        <v>0</v>
      </c>
    </row>
    <row r="379" spans="1:17" ht="15" customHeight="1" x14ac:dyDescent="0.35">
      <c r="A379">
        <v>2018</v>
      </c>
      <c r="B379" t="s">
        <v>26</v>
      </c>
      <c r="C379" t="s">
        <v>12</v>
      </c>
      <c r="D379" s="3">
        <v>25</v>
      </c>
      <c r="E379" s="3">
        <v>50</v>
      </c>
      <c r="F379" s="3">
        <v>49</v>
      </c>
      <c r="G379" s="3">
        <v>8</v>
      </c>
      <c r="H379" s="17">
        <v>112538098.40000001</v>
      </c>
      <c r="I379" s="3">
        <v>14087.9</v>
      </c>
      <c r="J379" s="3">
        <v>8</v>
      </c>
      <c r="K379" s="10">
        <v>0</v>
      </c>
      <c r="L379" s="3">
        <v>42</v>
      </c>
      <c r="M379" s="3">
        <v>2</v>
      </c>
      <c r="N379" s="3">
        <v>0</v>
      </c>
      <c r="O379" s="3">
        <v>3</v>
      </c>
      <c r="P379" s="3">
        <v>20</v>
      </c>
      <c r="Q379" s="3">
        <v>0</v>
      </c>
    </row>
    <row r="380" spans="1:17" ht="15" customHeight="1" x14ac:dyDescent="0.35">
      <c r="A380">
        <v>2018</v>
      </c>
      <c r="B380" t="s">
        <v>13</v>
      </c>
      <c r="C380" t="s">
        <v>8</v>
      </c>
      <c r="D380" s="3">
        <v>29</v>
      </c>
      <c r="E380" s="3">
        <v>81</v>
      </c>
      <c r="F380" s="3">
        <v>141</v>
      </c>
      <c r="G380" s="3">
        <v>9</v>
      </c>
      <c r="H380" s="17">
        <v>848750100</v>
      </c>
      <c r="I380" s="3">
        <v>95796</v>
      </c>
      <c r="J380" s="3">
        <v>0</v>
      </c>
      <c r="K380" s="10">
        <v>0</v>
      </c>
      <c r="L380" s="3">
        <v>41</v>
      </c>
      <c r="M380" s="3">
        <v>12</v>
      </c>
      <c r="N380" s="3">
        <v>1</v>
      </c>
      <c r="O380" s="3">
        <v>2</v>
      </c>
      <c r="P380" s="3">
        <v>54</v>
      </c>
      <c r="Q380" s="3">
        <v>0</v>
      </c>
    </row>
    <row r="381" spans="1:17" ht="15" customHeight="1" x14ac:dyDescent="0.35">
      <c r="A381">
        <v>2018</v>
      </c>
      <c r="B381" t="s">
        <v>13</v>
      </c>
      <c r="C381" t="s">
        <v>9</v>
      </c>
      <c r="D381" s="3">
        <v>2</v>
      </c>
      <c r="E381" s="3">
        <v>47</v>
      </c>
      <c r="F381" s="3">
        <v>37</v>
      </c>
      <c r="G381" s="3">
        <v>3</v>
      </c>
      <c r="H381" s="17">
        <v>52541500</v>
      </c>
      <c r="I381" s="3">
        <v>6158</v>
      </c>
      <c r="J381" s="3">
        <v>15</v>
      </c>
      <c r="K381" s="10">
        <v>0</v>
      </c>
      <c r="L381" s="3">
        <v>31</v>
      </c>
      <c r="M381" s="3">
        <v>0</v>
      </c>
      <c r="N381" s="3">
        <v>2</v>
      </c>
      <c r="O381" s="3">
        <v>1</v>
      </c>
      <c r="P381" s="3">
        <v>0</v>
      </c>
      <c r="Q381" s="3">
        <v>0</v>
      </c>
    </row>
    <row r="382" spans="1:17" x14ac:dyDescent="0.35">
      <c r="A382">
        <v>2018</v>
      </c>
      <c r="B382" t="s">
        <v>13</v>
      </c>
      <c r="C382" t="s">
        <v>10</v>
      </c>
      <c r="D382" s="3">
        <v>69</v>
      </c>
      <c r="E382" s="3">
        <v>127</v>
      </c>
      <c r="F382" s="3">
        <v>206</v>
      </c>
      <c r="G382" s="3">
        <v>14</v>
      </c>
      <c r="H382" s="17">
        <v>502054800</v>
      </c>
      <c r="I382" s="3">
        <v>45211</v>
      </c>
      <c r="J382" s="3">
        <v>5</v>
      </c>
      <c r="K382" s="10">
        <v>0</v>
      </c>
      <c r="L382" s="3">
        <v>128</v>
      </c>
      <c r="M382" s="3">
        <v>8</v>
      </c>
      <c r="N382" s="3">
        <v>0</v>
      </c>
      <c r="O382" s="3">
        <v>3</v>
      </c>
      <c r="P382" s="3">
        <v>52</v>
      </c>
      <c r="Q382" s="3">
        <v>16</v>
      </c>
    </row>
    <row r="383" spans="1:17" x14ac:dyDescent="0.35">
      <c r="A383">
        <v>2018</v>
      </c>
      <c r="B383" t="s">
        <v>13</v>
      </c>
      <c r="C383" t="s">
        <v>11</v>
      </c>
      <c r="D383" s="3">
        <v>23</v>
      </c>
      <c r="E383" s="3">
        <v>73</v>
      </c>
      <c r="F383" s="3">
        <v>94</v>
      </c>
      <c r="G383" s="3">
        <v>5</v>
      </c>
      <c r="H383" s="17">
        <v>113041000</v>
      </c>
      <c r="I383" s="3">
        <v>12721</v>
      </c>
      <c r="J383" s="3">
        <v>1</v>
      </c>
      <c r="K383" s="10">
        <v>0</v>
      </c>
      <c r="L383" s="3">
        <v>59</v>
      </c>
      <c r="M383" s="3">
        <v>4</v>
      </c>
      <c r="N383" s="3">
        <v>0</v>
      </c>
      <c r="O383" s="3">
        <v>1</v>
      </c>
      <c r="P383" s="3">
        <v>31</v>
      </c>
      <c r="Q383" s="3">
        <v>0</v>
      </c>
    </row>
    <row r="384" spans="1:17" x14ac:dyDescent="0.35">
      <c r="A384">
        <v>2018</v>
      </c>
      <c r="B384" t="s">
        <v>13</v>
      </c>
      <c r="C384" t="s">
        <v>12</v>
      </c>
      <c r="D384" s="3">
        <v>34</v>
      </c>
      <c r="E384" s="3">
        <v>40</v>
      </c>
      <c r="F384" s="3">
        <v>79</v>
      </c>
      <c r="G384" s="3">
        <v>2</v>
      </c>
      <c r="H384" s="17">
        <v>76352526</v>
      </c>
      <c r="I384" s="3">
        <v>8445</v>
      </c>
      <c r="J384" s="3">
        <v>5</v>
      </c>
      <c r="K384" s="10">
        <v>0</v>
      </c>
      <c r="L384" s="3">
        <v>37</v>
      </c>
      <c r="M384" s="3">
        <v>10</v>
      </c>
      <c r="N384" s="3">
        <v>1</v>
      </c>
      <c r="O384" s="3">
        <v>0</v>
      </c>
      <c r="P384" s="3">
        <v>21</v>
      </c>
      <c r="Q384" s="3">
        <v>0</v>
      </c>
    </row>
    <row r="385" spans="1:17" ht="15.75" customHeight="1" x14ac:dyDescent="0.35">
      <c r="A385">
        <v>2018</v>
      </c>
      <c r="B385" t="s">
        <v>14</v>
      </c>
      <c r="C385" t="s">
        <v>8</v>
      </c>
      <c r="D385" s="3">
        <v>16</v>
      </c>
      <c r="E385" s="3">
        <v>86</v>
      </c>
      <c r="F385" s="3">
        <v>136</v>
      </c>
      <c r="G385" s="3">
        <v>9</v>
      </c>
      <c r="H385" s="17">
        <v>378278605</v>
      </c>
      <c r="I385" s="3">
        <v>50021.79</v>
      </c>
      <c r="J385" s="3">
        <v>0</v>
      </c>
      <c r="K385" s="10">
        <v>0</v>
      </c>
      <c r="L385" s="3">
        <v>48</v>
      </c>
      <c r="M385" s="3">
        <v>2</v>
      </c>
      <c r="N385" s="3">
        <v>0</v>
      </c>
      <c r="O385" s="3">
        <v>1</v>
      </c>
      <c r="P385" s="3">
        <v>51</v>
      </c>
      <c r="Q385" s="3">
        <v>1</v>
      </c>
    </row>
    <row r="386" spans="1:17" x14ac:dyDescent="0.35">
      <c r="A386">
        <v>2018</v>
      </c>
      <c r="B386" t="s">
        <v>14</v>
      </c>
      <c r="C386" t="s">
        <v>9</v>
      </c>
      <c r="D386" s="3">
        <v>2</v>
      </c>
      <c r="E386" s="3">
        <v>34</v>
      </c>
      <c r="F386" s="3">
        <v>36</v>
      </c>
      <c r="G386" s="3">
        <v>3</v>
      </c>
      <c r="H386" s="17">
        <v>120841100</v>
      </c>
      <c r="I386" s="3">
        <v>14030</v>
      </c>
      <c r="J386" s="3">
        <v>0</v>
      </c>
      <c r="K386" s="10">
        <v>0</v>
      </c>
      <c r="L386" s="3">
        <v>22</v>
      </c>
      <c r="M386" s="3">
        <v>1</v>
      </c>
      <c r="N386" s="3">
        <v>1</v>
      </c>
      <c r="O386" s="3">
        <v>1</v>
      </c>
      <c r="P386" s="3">
        <v>11</v>
      </c>
      <c r="Q386" s="3">
        <v>12</v>
      </c>
    </row>
    <row r="387" spans="1:17" x14ac:dyDescent="0.35">
      <c r="A387">
        <v>2018</v>
      </c>
      <c r="B387" t="s">
        <v>14</v>
      </c>
      <c r="C387" t="s">
        <v>10</v>
      </c>
      <c r="D387" s="3">
        <v>75</v>
      </c>
      <c r="E387" s="3">
        <v>144</v>
      </c>
      <c r="F387" s="3">
        <v>242</v>
      </c>
      <c r="G387" s="3">
        <v>17</v>
      </c>
      <c r="H387" s="17">
        <v>424664500</v>
      </c>
      <c r="I387" s="3">
        <v>33413</v>
      </c>
      <c r="J387" s="3">
        <v>3</v>
      </c>
      <c r="K387" s="10">
        <v>0</v>
      </c>
      <c r="L387" s="3">
        <v>139</v>
      </c>
      <c r="M387" s="3">
        <v>12</v>
      </c>
      <c r="N387" s="3">
        <v>2</v>
      </c>
      <c r="O387" s="3">
        <v>1</v>
      </c>
      <c r="P387" s="3">
        <v>62</v>
      </c>
      <c r="Q387" s="3">
        <v>6</v>
      </c>
    </row>
    <row r="388" spans="1:17" x14ac:dyDescent="0.35">
      <c r="A388">
        <v>2018</v>
      </c>
      <c r="B388" t="s">
        <v>14</v>
      </c>
      <c r="C388" t="s">
        <v>11</v>
      </c>
      <c r="D388" s="3">
        <v>35</v>
      </c>
      <c r="E388" s="3">
        <v>82</v>
      </c>
      <c r="F388" s="3">
        <v>90</v>
      </c>
      <c r="G388" s="3">
        <v>7</v>
      </c>
      <c r="H388" s="17">
        <v>165151200</v>
      </c>
      <c r="I388" s="3">
        <v>16432</v>
      </c>
      <c r="J388" s="3">
        <v>10</v>
      </c>
      <c r="K388" s="10">
        <v>0</v>
      </c>
      <c r="L388" s="3">
        <v>57</v>
      </c>
      <c r="M388" s="3">
        <v>9</v>
      </c>
      <c r="N388" s="3">
        <v>1</v>
      </c>
      <c r="O388" s="3">
        <v>2</v>
      </c>
      <c r="P388" s="3">
        <v>38</v>
      </c>
      <c r="Q388" s="3">
        <v>0</v>
      </c>
    </row>
    <row r="389" spans="1:17" x14ac:dyDescent="0.35">
      <c r="A389">
        <v>2018</v>
      </c>
      <c r="B389" t="s">
        <v>14</v>
      </c>
      <c r="C389" t="s">
        <v>12</v>
      </c>
      <c r="D389" s="3">
        <v>32</v>
      </c>
      <c r="E389" s="3">
        <v>37</v>
      </c>
      <c r="F389" s="3">
        <v>75</v>
      </c>
      <c r="G389" s="3">
        <v>5</v>
      </c>
      <c r="H389" s="17">
        <v>213859228.90000001</v>
      </c>
      <c r="I389" s="3">
        <v>38063.699999999997</v>
      </c>
      <c r="J389" s="3">
        <v>2</v>
      </c>
      <c r="K389" s="10">
        <v>0</v>
      </c>
      <c r="L389" s="3">
        <v>39</v>
      </c>
      <c r="M389" s="3">
        <v>1</v>
      </c>
      <c r="N389" s="3">
        <v>0</v>
      </c>
      <c r="O389" s="3">
        <v>3</v>
      </c>
      <c r="P389" s="3">
        <v>25</v>
      </c>
      <c r="Q389" s="3">
        <v>0</v>
      </c>
    </row>
    <row r="390" spans="1:17" ht="15.75" customHeight="1" x14ac:dyDescent="0.35">
      <c r="A390">
        <v>2018</v>
      </c>
      <c r="B390" t="s">
        <v>15</v>
      </c>
      <c r="C390" t="s">
        <v>8</v>
      </c>
      <c r="D390" s="3">
        <v>30</v>
      </c>
      <c r="E390" s="3">
        <v>100</v>
      </c>
      <c r="F390" s="3">
        <v>110</v>
      </c>
      <c r="G390" s="3">
        <v>8</v>
      </c>
      <c r="H390" s="17">
        <v>168239372.19999999</v>
      </c>
      <c r="I390" s="3">
        <v>23541.79</v>
      </c>
      <c r="J390" s="3">
        <v>2</v>
      </c>
      <c r="K390" s="10">
        <v>0</v>
      </c>
      <c r="L390" s="3">
        <v>70</v>
      </c>
      <c r="M390" s="3">
        <v>2</v>
      </c>
      <c r="N390" s="3">
        <v>0</v>
      </c>
      <c r="O390" s="3">
        <v>2</v>
      </c>
      <c r="P390" s="3">
        <v>54</v>
      </c>
      <c r="Q390" s="3">
        <v>9</v>
      </c>
    </row>
    <row r="391" spans="1:17" x14ac:dyDescent="0.35">
      <c r="A391">
        <v>2018</v>
      </c>
      <c r="B391" t="s">
        <v>15</v>
      </c>
      <c r="C391" t="s">
        <v>9</v>
      </c>
      <c r="D391" s="3">
        <v>1</v>
      </c>
      <c r="E391" s="3">
        <v>42</v>
      </c>
      <c r="F391" s="3">
        <v>49</v>
      </c>
      <c r="G391" s="3">
        <v>5</v>
      </c>
      <c r="H391" s="17">
        <v>228648300</v>
      </c>
      <c r="I391" s="3">
        <v>23364</v>
      </c>
      <c r="J391" s="3">
        <v>10</v>
      </c>
      <c r="K391" s="10">
        <v>0</v>
      </c>
      <c r="L391" s="3">
        <v>29</v>
      </c>
      <c r="M391" s="3">
        <v>2</v>
      </c>
      <c r="N391" s="3">
        <v>0</v>
      </c>
      <c r="O391" s="3">
        <v>1</v>
      </c>
      <c r="P391" s="3">
        <v>1</v>
      </c>
      <c r="Q391" s="3">
        <v>17</v>
      </c>
    </row>
    <row r="392" spans="1:17" x14ac:dyDescent="0.35">
      <c r="A392">
        <v>2018</v>
      </c>
      <c r="B392" t="s">
        <v>15</v>
      </c>
      <c r="C392" t="s">
        <v>10</v>
      </c>
      <c r="D392" s="3">
        <v>72</v>
      </c>
      <c r="E392" s="3">
        <v>142</v>
      </c>
      <c r="F392" s="3">
        <v>196</v>
      </c>
      <c r="G392" s="3">
        <v>9</v>
      </c>
      <c r="H392" s="17">
        <v>232224600</v>
      </c>
      <c r="I392" s="3">
        <v>23756</v>
      </c>
      <c r="J392" s="3">
        <v>1</v>
      </c>
      <c r="K392" s="10">
        <v>0</v>
      </c>
      <c r="L392" s="3">
        <v>130</v>
      </c>
      <c r="M392" s="3">
        <v>10</v>
      </c>
      <c r="N392" s="3">
        <v>1</v>
      </c>
      <c r="O392" s="3">
        <v>1</v>
      </c>
      <c r="P392" s="3">
        <v>71</v>
      </c>
      <c r="Q392" s="3">
        <v>20</v>
      </c>
    </row>
    <row r="393" spans="1:17" x14ac:dyDescent="0.35">
      <c r="A393">
        <v>2018</v>
      </c>
      <c r="B393" t="s">
        <v>15</v>
      </c>
      <c r="C393" t="s">
        <v>11</v>
      </c>
      <c r="D393" s="3">
        <v>38</v>
      </c>
      <c r="E393" s="3">
        <v>76</v>
      </c>
      <c r="F393" s="3">
        <v>96</v>
      </c>
      <c r="G393" s="3">
        <v>5</v>
      </c>
      <c r="H393" s="17">
        <v>194970700</v>
      </c>
      <c r="I393" s="3">
        <v>31219</v>
      </c>
      <c r="J393" s="3">
        <v>5</v>
      </c>
      <c r="K393" s="10">
        <v>0</v>
      </c>
      <c r="L393" s="3">
        <v>59</v>
      </c>
      <c r="M393" s="3">
        <v>10</v>
      </c>
      <c r="N393" s="3">
        <v>0</v>
      </c>
      <c r="O393" s="3">
        <v>1</v>
      </c>
      <c r="P393" s="3">
        <v>39</v>
      </c>
      <c r="Q393" s="3">
        <v>0</v>
      </c>
    </row>
    <row r="394" spans="1:17" x14ac:dyDescent="0.35">
      <c r="A394">
        <v>2018</v>
      </c>
      <c r="B394" t="s">
        <v>15</v>
      </c>
      <c r="C394" t="s">
        <v>12</v>
      </c>
      <c r="D394" s="3">
        <v>44</v>
      </c>
      <c r="E394" s="3">
        <v>49</v>
      </c>
      <c r="F394" s="3">
        <v>74</v>
      </c>
      <c r="G394" s="3">
        <v>7</v>
      </c>
      <c r="H394" s="17">
        <v>279492033.19999999</v>
      </c>
      <c r="I394" s="3">
        <v>12297.79</v>
      </c>
      <c r="J394" s="3">
        <v>1</v>
      </c>
      <c r="K394" s="10">
        <v>0</v>
      </c>
      <c r="L394" s="3">
        <v>44</v>
      </c>
      <c r="M394" s="3">
        <v>17</v>
      </c>
      <c r="N394" s="3">
        <v>2</v>
      </c>
      <c r="O394" s="3">
        <v>0</v>
      </c>
      <c r="P394" s="3">
        <v>30</v>
      </c>
      <c r="Q394" s="3">
        <v>0</v>
      </c>
    </row>
    <row r="395" spans="1:17" ht="15.75" customHeight="1" x14ac:dyDescent="0.35">
      <c r="A395">
        <v>2018</v>
      </c>
      <c r="B395" t="s">
        <v>16</v>
      </c>
      <c r="C395" t="s">
        <v>8</v>
      </c>
      <c r="D395" s="3">
        <v>30</v>
      </c>
      <c r="E395" s="3">
        <v>82</v>
      </c>
      <c r="F395" s="3">
        <v>102</v>
      </c>
      <c r="G395" s="3">
        <v>7</v>
      </c>
      <c r="H395" s="17">
        <v>190998600</v>
      </c>
      <c r="I395" s="3">
        <v>22471</v>
      </c>
      <c r="J395" s="3">
        <v>1</v>
      </c>
      <c r="K395" s="10">
        <v>0</v>
      </c>
      <c r="L395" s="3">
        <v>48</v>
      </c>
      <c r="M395" s="3">
        <v>9</v>
      </c>
      <c r="N395" s="3">
        <v>1</v>
      </c>
      <c r="O395" s="3">
        <v>4</v>
      </c>
      <c r="P395" s="3">
        <v>49</v>
      </c>
      <c r="Q395" s="3">
        <v>10</v>
      </c>
    </row>
    <row r="396" spans="1:17" x14ac:dyDescent="0.35">
      <c r="A396">
        <v>2018</v>
      </c>
      <c r="B396" t="s">
        <v>16</v>
      </c>
      <c r="C396" t="s">
        <v>9</v>
      </c>
      <c r="D396" s="3">
        <v>2</v>
      </c>
      <c r="E396" s="3">
        <v>30</v>
      </c>
      <c r="F396" s="3">
        <v>36</v>
      </c>
      <c r="G396" s="3">
        <v>1</v>
      </c>
      <c r="H396" s="17">
        <v>36471600</v>
      </c>
      <c r="I396" s="3">
        <v>2895</v>
      </c>
      <c r="J396" s="3">
        <v>3</v>
      </c>
      <c r="K396" s="10">
        <v>0</v>
      </c>
      <c r="L396" s="3">
        <v>21</v>
      </c>
      <c r="M396" s="3">
        <v>0</v>
      </c>
      <c r="N396" s="3">
        <v>1</v>
      </c>
      <c r="O396" s="3">
        <v>1</v>
      </c>
      <c r="P396" s="3">
        <v>6</v>
      </c>
      <c r="Q396" s="3">
        <v>12</v>
      </c>
    </row>
    <row r="397" spans="1:17" x14ac:dyDescent="0.35">
      <c r="A397">
        <v>2018</v>
      </c>
      <c r="B397" t="s">
        <v>16</v>
      </c>
      <c r="C397" t="s">
        <v>10</v>
      </c>
      <c r="D397" s="3">
        <v>60</v>
      </c>
      <c r="E397" s="3">
        <v>132</v>
      </c>
      <c r="F397" s="3">
        <v>219</v>
      </c>
      <c r="G397" s="3">
        <v>12</v>
      </c>
      <c r="H397" s="17">
        <v>447282566</v>
      </c>
      <c r="I397" s="3">
        <v>42967</v>
      </c>
      <c r="J397" s="3">
        <v>2</v>
      </c>
      <c r="K397" s="10">
        <v>0</v>
      </c>
      <c r="L397" s="3">
        <v>108</v>
      </c>
      <c r="M397" s="3">
        <v>20</v>
      </c>
      <c r="N397" s="3">
        <v>2</v>
      </c>
      <c r="O397" s="3">
        <v>2</v>
      </c>
      <c r="P397" s="3">
        <v>58</v>
      </c>
      <c r="Q397" s="3">
        <v>13</v>
      </c>
    </row>
    <row r="398" spans="1:17" x14ac:dyDescent="0.35">
      <c r="A398">
        <v>2018</v>
      </c>
      <c r="B398" t="s">
        <v>16</v>
      </c>
      <c r="C398" t="s">
        <v>11</v>
      </c>
      <c r="D398" s="3">
        <v>21</v>
      </c>
      <c r="E398" s="3">
        <v>76</v>
      </c>
      <c r="F398" s="3">
        <v>117</v>
      </c>
      <c r="G398" s="3">
        <v>5</v>
      </c>
      <c r="H398" s="17">
        <v>146699300</v>
      </c>
      <c r="I398" s="3">
        <v>14078</v>
      </c>
      <c r="J398" s="3">
        <v>4</v>
      </c>
      <c r="K398" s="10">
        <v>0</v>
      </c>
      <c r="L398" s="3">
        <v>52</v>
      </c>
      <c r="M398" s="3">
        <v>7</v>
      </c>
      <c r="N398" s="3">
        <v>1</v>
      </c>
      <c r="O398" s="3">
        <v>2</v>
      </c>
      <c r="P398" s="3">
        <v>31</v>
      </c>
      <c r="Q398" s="3">
        <v>0</v>
      </c>
    </row>
    <row r="399" spans="1:17" x14ac:dyDescent="0.35">
      <c r="A399">
        <v>2018</v>
      </c>
      <c r="B399" t="s">
        <v>16</v>
      </c>
      <c r="C399" t="s">
        <v>12</v>
      </c>
      <c r="D399" s="3">
        <v>36</v>
      </c>
      <c r="E399" s="3">
        <v>37</v>
      </c>
      <c r="F399" s="3">
        <v>69</v>
      </c>
      <c r="G399" s="3">
        <v>6</v>
      </c>
      <c r="H399" s="17">
        <v>108745322.40000001</v>
      </c>
      <c r="I399" s="3">
        <v>9957.4599999999991</v>
      </c>
      <c r="J399" s="3">
        <v>2</v>
      </c>
      <c r="K399" s="10">
        <v>0</v>
      </c>
      <c r="L399" s="3">
        <v>34</v>
      </c>
      <c r="M399" s="3">
        <v>10</v>
      </c>
      <c r="N399" s="3">
        <v>0</v>
      </c>
      <c r="O399" s="3">
        <v>0</v>
      </c>
      <c r="P399" s="3">
        <v>27</v>
      </c>
      <c r="Q399" s="3">
        <v>0</v>
      </c>
    </row>
    <row r="400" spans="1:17" ht="15.75" customHeight="1" x14ac:dyDescent="0.35">
      <c r="A400">
        <v>2018</v>
      </c>
      <c r="B400" t="s">
        <v>17</v>
      </c>
      <c r="C400" t="s">
        <v>8</v>
      </c>
      <c r="D400" s="3">
        <v>40</v>
      </c>
      <c r="E400" s="3">
        <v>80</v>
      </c>
      <c r="F400" s="3">
        <v>120</v>
      </c>
      <c r="G400" s="3">
        <v>10</v>
      </c>
      <c r="H400" s="17">
        <v>479960827</v>
      </c>
      <c r="I400" s="3">
        <v>41564</v>
      </c>
      <c r="J400" s="3">
        <v>0</v>
      </c>
      <c r="K400" s="10">
        <v>0</v>
      </c>
      <c r="L400" s="3">
        <v>66</v>
      </c>
      <c r="M400" s="3">
        <v>3</v>
      </c>
      <c r="N400" s="3">
        <v>0</v>
      </c>
      <c r="O400" s="3">
        <v>1</v>
      </c>
      <c r="P400" s="3">
        <v>50</v>
      </c>
      <c r="Q400" s="3">
        <v>0</v>
      </c>
    </row>
    <row r="401" spans="1:17" x14ac:dyDescent="0.35">
      <c r="A401">
        <v>2018</v>
      </c>
      <c r="B401" t="s">
        <v>17</v>
      </c>
      <c r="C401" t="s">
        <v>9</v>
      </c>
      <c r="D401" s="3">
        <v>0</v>
      </c>
      <c r="E401" s="3">
        <v>49</v>
      </c>
      <c r="F401" s="3">
        <v>49</v>
      </c>
      <c r="G401" s="3">
        <v>3</v>
      </c>
      <c r="H401" s="17">
        <v>88415000</v>
      </c>
      <c r="I401" s="3">
        <v>10484</v>
      </c>
      <c r="J401" s="3">
        <v>6</v>
      </c>
      <c r="K401" s="10">
        <v>0</v>
      </c>
      <c r="L401" s="3">
        <v>35</v>
      </c>
      <c r="M401" s="3">
        <v>2</v>
      </c>
      <c r="N401" s="3">
        <v>1</v>
      </c>
      <c r="O401" s="3">
        <v>1</v>
      </c>
      <c r="P401" s="3">
        <v>4</v>
      </c>
      <c r="Q401" s="3">
        <v>11</v>
      </c>
    </row>
    <row r="402" spans="1:17" x14ac:dyDescent="0.35">
      <c r="A402">
        <v>2018</v>
      </c>
      <c r="B402" t="s">
        <v>17</v>
      </c>
      <c r="C402" t="s">
        <v>10</v>
      </c>
      <c r="D402" s="3">
        <v>94</v>
      </c>
      <c r="E402" s="3">
        <v>180</v>
      </c>
      <c r="F402" s="3">
        <v>274</v>
      </c>
      <c r="G402" s="3">
        <v>13</v>
      </c>
      <c r="H402" s="17">
        <v>396411300</v>
      </c>
      <c r="I402" s="3">
        <v>36657</v>
      </c>
      <c r="J402" s="3">
        <v>1</v>
      </c>
      <c r="K402" s="10">
        <v>0</v>
      </c>
      <c r="L402" s="3">
        <v>173</v>
      </c>
      <c r="M402" s="3">
        <v>13</v>
      </c>
      <c r="N402" s="3">
        <v>1</v>
      </c>
      <c r="O402" s="3">
        <v>1</v>
      </c>
      <c r="P402" s="3">
        <v>85</v>
      </c>
      <c r="Q402" s="3">
        <v>8</v>
      </c>
    </row>
    <row r="403" spans="1:17" x14ac:dyDescent="0.35">
      <c r="A403">
        <v>2018</v>
      </c>
      <c r="B403" t="s">
        <v>17</v>
      </c>
      <c r="C403" t="s">
        <v>11</v>
      </c>
      <c r="D403" s="3">
        <v>22</v>
      </c>
      <c r="E403" s="3">
        <v>74</v>
      </c>
      <c r="F403" s="3">
        <v>96</v>
      </c>
      <c r="G403" s="3">
        <v>6</v>
      </c>
      <c r="H403" s="17">
        <v>144467300</v>
      </c>
      <c r="I403" s="3">
        <v>11331</v>
      </c>
      <c r="J403" s="3">
        <v>6</v>
      </c>
      <c r="K403" s="10">
        <v>0</v>
      </c>
      <c r="L403" s="3">
        <v>53</v>
      </c>
      <c r="M403" s="3">
        <v>2</v>
      </c>
      <c r="N403" s="3">
        <v>1</v>
      </c>
      <c r="O403" s="3">
        <v>0</v>
      </c>
      <c r="P403" s="3">
        <v>34</v>
      </c>
      <c r="Q403" s="3">
        <v>0</v>
      </c>
    </row>
    <row r="404" spans="1:17" x14ac:dyDescent="0.35">
      <c r="A404">
        <v>2018</v>
      </c>
      <c r="B404" t="s">
        <v>17</v>
      </c>
      <c r="C404" t="s">
        <v>12</v>
      </c>
      <c r="D404" s="3">
        <v>42</v>
      </c>
      <c r="E404" s="3">
        <v>43</v>
      </c>
      <c r="F404" s="3">
        <v>85</v>
      </c>
      <c r="G404" s="3">
        <v>8</v>
      </c>
      <c r="H404" s="17">
        <v>242310048.19999999</v>
      </c>
      <c r="I404" s="3">
        <v>26430.39</v>
      </c>
      <c r="J404" s="3">
        <v>1</v>
      </c>
      <c r="K404" s="10">
        <v>0</v>
      </c>
      <c r="L404" s="3">
        <v>35</v>
      </c>
      <c r="M404" s="3">
        <v>26</v>
      </c>
      <c r="N404" s="3">
        <v>2</v>
      </c>
      <c r="O404" s="3">
        <v>1</v>
      </c>
      <c r="P404" s="3">
        <v>20</v>
      </c>
      <c r="Q404" s="3">
        <v>0</v>
      </c>
    </row>
    <row r="405" spans="1:17" ht="15.75" customHeight="1" x14ac:dyDescent="0.35">
      <c r="A405">
        <v>2018</v>
      </c>
      <c r="B405" t="s">
        <v>18</v>
      </c>
      <c r="C405" t="s">
        <v>8</v>
      </c>
      <c r="D405" s="3">
        <v>18</v>
      </c>
      <c r="E405" s="3">
        <v>56</v>
      </c>
      <c r="F405" s="3">
        <v>74</v>
      </c>
      <c r="G405" s="3">
        <v>7</v>
      </c>
      <c r="H405" s="17">
        <v>335051816</v>
      </c>
      <c r="I405" s="3">
        <v>29283.19</v>
      </c>
      <c r="J405" s="3">
        <v>0</v>
      </c>
      <c r="K405" s="10">
        <v>0</v>
      </c>
      <c r="L405" s="3">
        <v>47</v>
      </c>
      <c r="M405" s="3">
        <v>0</v>
      </c>
      <c r="N405" s="3">
        <v>2</v>
      </c>
      <c r="O405" s="3">
        <v>0</v>
      </c>
      <c r="P405" s="3">
        <v>26</v>
      </c>
      <c r="Q405" s="3">
        <v>3</v>
      </c>
    </row>
    <row r="406" spans="1:17" x14ac:dyDescent="0.35">
      <c r="A406">
        <v>2018</v>
      </c>
      <c r="B406" t="s">
        <v>18</v>
      </c>
      <c r="C406" t="s">
        <v>9</v>
      </c>
      <c r="D406" s="3">
        <v>0</v>
      </c>
      <c r="E406" s="3">
        <v>41</v>
      </c>
      <c r="F406" s="3">
        <v>41</v>
      </c>
      <c r="G406" s="3">
        <v>3</v>
      </c>
      <c r="H406" s="17">
        <v>59983305</v>
      </c>
      <c r="I406" s="3">
        <v>5498</v>
      </c>
      <c r="J406" s="3">
        <v>2</v>
      </c>
      <c r="K406" s="10">
        <v>0</v>
      </c>
      <c r="L406" s="3">
        <v>23</v>
      </c>
      <c r="M406" s="3">
        <v>2</v>
      </c>
      <c r="N406" s="3">
        <v>1</v>
      </c>
      <c r="O406" s="3">
        <v>2</v>
      </c>
      <c r="P406" s="3">
        <v>11</v>
      </c>
      <c r="Q406" s="3">
        <v>18</v>
      </c>
    </row>
    <row r="407" spans="1:17" x14ac:dyDescent="0.35">
      <c r="A407">
        <v>2018</v>
      </c>
      <c r="B407" t="s">
        <v>18</v>
      </c>
      <c r="C407" t="s">
        <v>10</v>
      </c>
      <c r="D407" s="3">
        <v>40</v>
      </c>
      <c r="E407" s="3">
        <v>95</v>
      </c>
      <c r="F407" s="3">
        <v>135</v>
      </c>
      <c r="G407" s="3">
        <v>4</v>
      </c>
      <c r="H407" s="17">
        <v>150864300</v>
      </c>
      <c r="I407" s="3">
        <v>12619</v>
      </c>
      <c r="J407" s="3">
        <v>6</v>
      </c>
      <c r="K407" s="10">
        <v>0</v>
      </c>
      <c r="L407" s="3">
        <v>86</v>
      </c>
      <c r="M407" s="3">
        <v>3</v>
      </c>
      <c r="N407" s="3">
        <v>0</v>
      </c>
      <c r="O407" s="3">
        <v>2</v>
      </c>
      <c r="P407" s="3">
        <v>38</v>
      </c>
      <c r="Q407" s="3">
        <v>22</v>
      </c>
    </row>
    <row r="408" spans="1:17" x14ac:dyDescent="0.35">
      <c r="A408">
        <v>2018</v>
      </c>
      <c r="B408" t="s">
        <v>18</v>
      </c>
      <c r="C408" t="s">
        <v>11</v>
      </c>
      <c r="D408" s="3">
        <v>8</v>
      </c>
      <c r="E408" s="3">
        <v>69</v>
      </c>
      <c r="F408" s="3">
        <v>77</v>
      </c>
      <c r="G408" s="3">
        <v>9</v>
      </c>
      <c r="H408" s="17">
        <v>197479000</v>
      </c>
      <c r="I408" s="3">
        <v>17599</v>
      </c>
      <c r="J408" s="3">
        <v>0</v>
      </c>
      <c r="K408" s="10">
        <v>0</v>
      </c>
      <c r="L408" s="3">
        <v>42</v>
      </c>
      <c r="M408" s="3">
        <v>7</v>
      </c>
      <c r="N408" s="3">
        <v>0</v>
      </c>
      <c r="O408" s="3">
        <v>0</v>
      </c>
      <c r="P408" s="3">
        <v>28</v>
      </c>
      <c r="Q408" s="3">
        <v>0</v>
      </c>
    </row>
    <row r="409" spans="1:17" x14ac:dyDescent="0.35">
      <c r="A409">
        <v>2018</v>
      </c>
      <c r="B409" t="s">
        <v>18</v>
      </c>
      <c r="C409" t="s">
        <v>12</v>
      </c>
      <c r="D409" s="3">
        <v>24</v>
      </c>
      <c r="E409" s="3">
        <v>50</v>
      </c>
      <c r="F409" s="3">
        <v>74</v>
      </c>
      <c r="G409" s="3">
        <v>7</v>
      </c>
      <c r="H409" s="17">
        <v>207130719.40000001</v>
      </c>
      <c r="I409" s="3">
        <v>20763.55</v>
      </c>
      <c r="J409" s="3">
        <v>0</v>
      </c>
      <c r="K409" s="10">
        <v>0</v>
      </c>
      <c r="L409" s="3">
        <v>29</v>
      </c>
      <c r="M409" s="3">
        <v>25</v>
      </c>
      <c r="N409" s="3">
        <v>1</v>
      </c>
      <c r="O409" s="3">
        <v>0</v>
      </c>
      <c r="P409" s="3">
        <v>19</v>
      </c>
      <c r="Q409" s="3">
        <v>0</v>
      </c>
    </row>
    <row r="410" spans="1:17" x14ac:dyDescent="0.35">
      <c r="A410">
        <v>2018</v>
      </c>
      <c r="B410" t="s">
        <v>19</v>
      </c>
      <c r="C410" t="s">
        <v>8</v>
      </c>
      <c r="D410" s="3">
        <v>28</v>
      </c>
      <c r="E410" s="3">
        <v>73</v>
      </c>
      <c r="F410" s="3">
        <v>101</v>
      </c>
      <c r="G410" s="3">
        <v>12</v>
      </c>
      <c r="H410" s="17">
        <v>598998314</v>
      </c>
      <c r="I410" s="3">
        <v>73918.84</v>
      </c>
      <c r="J410" s="3">
        <v>1</v>
      </c>
      <c r="K410" s="10">
        <v>0</v>
      </c>
      <c r="L410" s="3">
        <v>45</v>
      </c>
      <c r="M410" s="3">
        <v>6</v>
      </c>
      <c r="N410" s="3">
        <v>0</v>
      </c>
      <c r="O410" s="3">
        <v>2</v>
      </c>
      <c r="P410" s="3">
        <v>47</v>
      </c>
      <c r="Q410" s="3">
        <v>8</v>
      </c>
    </row>
    <row r="411" spans="1:17" x14ac:dyDescent="0.35">
      <c r="A411">
        <v>2018</v>
      </c>
      <c r="B411" t="s">
        <v>19</v>
      </c>
      <c r="C411" t="s">
        <v>9</v>
      </c>
      <c r="D411" s="3">
        <v>0</v>
      </c>
      <c r="E411" s="3">
        <v>41</v>
      </c>
      <c r="F411" s="3">
        <v>41</v>
      </c>
      <c r="G411" s="3">
        <v>3</v>
      </c>
      <c r="H411" s="17">
        <v>93321700</v>
      </c>
      <c r="I411" s="3">
        <v>9457</v>
      </c>
      <c r="J411" s="3">
        <v>7</v>
      </c>
      <c r="K411" s="10">
        <v>0</v>
      </c>
      <c r="L411" s="3">
        <v>28</v>
      </c>
      <c r="M411" s="3">
        <v>1</v>
      </c>
      <c r="N411" s="3">
        <v>2</v>
      </c>
      <c r="O411" s="3">
        <v>3</v>
      </c>
      <c r="P411" s="3">
        <v>0</v>
      </c>
      <c r="Q411" s="3">
        <v>10</v>
      </c>
    </row>
    <row r="412" spans="1:17" x14ac:dyDescent="0.35">
      <c r="A412">
        <v>2018</v>
      </c>
      <c r="B412" t="s">
        <v>19</v>
      </c>
      <c r="C412" t="s">
        <v>10</v>
      </c>
      <c r="D412" s="3">
        <v>32</v>
      </c>
      <c r="E412" s="3">
        <v>107</v>
      </c>
      <c r="F412" s="3">
        <v>139</v>
      </c>
      <c r="G412" s="3">
        <v>9</v>
      </c>
      <c r="H412" s="17">
        <v>380659500</v>
      </c>
      <c r="I412" s="3">
        <v>42670</v>
      </c>
      <c r="J412" s="3">
        <v>0</v>
      </c>
      <c r="K412" s="10">
        <v>0</v>
      </c>
      <c r="L412" s="3">
        <v>99</v>
      </c>
      <c r="M412" s="3">
        <v>3</v>
      </c>
      <c r="N412" s="3">
        <v>0</v>
      </c>
      <c r="O412" s="3">
        <v>2</v>
      </c>
      <c r="P412" s="3">
        <v>34</v>
      </c>
      <c r="Q412" s="3">
        <v>15</v>
      </c>
    </row>
    <row r="413" spans="1:17" x14ac:dyDescent="0.35">
      <c r="A413">
        <v>2018</v>
      </c>
      <c r="B413" t="s">
        <v>19</v>
      </c>
      <c r="C413" t="s">
        <v>11</v>
      </c>
      <c r="D413" s="3">
        <v>26</v>
      </c>
      <c r="E413" s="3">
        <v>72</v>
      </c>
      <c r="F413" s="3">
        <v>98</v>
      </c>
      <c r="G413" s="3">
        <v>4</v>
      </c>
      <c r="H413" s="17">
        <v>126540000</v>
      </c>
      <c r="I413" s="3">
        <v>10635</v>
      </c>
      <c r="J413" s="3">
        <v>6</v>
      </c>
      <c r="K413" s="10">
        <v>0</v>
      </c>
      <c r="L413" s="3">
        <v>47</v>
      </c>
      <c r="M413" s="3">
        <v>6</v>
      </c>
      <c r="N413" s="3">
        <v>0</v>
      </c>
      <c r="O413" s="3">
        <v>1</v>
      </c>
      <c r="P413" s="3">
        <v>36</v>
      </c>
      <c r="Q413" s="3">
        <v>0</v>
      </c>
    </row>
    <row r="414" spans="1:17" x14ac:dyDescent="0.35">
      <c r="A414">
        <v>2018</v>
      </c>
      <c r="B414" t="s">
        <v>19</v>
      </c>
      <c r="C414" t="s">
        <v>12</v>
      </c>
      <c r="D414" s="3">
        <v>38</v>
      </c>
      <c r="E414" s="3">
        <v>54</v>
      </c>
      <c r="F414" s="3">
        <v>92</v>
      </c>
      <c r="G414" s="3">
        <v>5</v>
      </c>
      <c r="H414" s="17">
        <v>176138461.09999999</v>
      </c>
      <c r="I414" s="3">
        <v>18741.849999999999</v>
      </c>
      <c r="J414" s="3">
        <v>0</v>
      </c>
      <c r="K414" s="10">
        <v>0</v>
      </c>
      <c r="L414" s="3">
        <v>34</v>
      </c>
      <c r="M414" s="3">
        <v>28</v>
      </c>
      <c r="N414" s="3">
        <v>0</v>
      </c>
      <c r="O414" s="3">
        <v>2</v>
      </c>
      <c r="P414" s="3">
        <v>28</v>
      </c>
      <c r="Q414" s="3">
        <v>0</v>
      </c>
    </row>
    <row r="415" spans="1:17" x14ac:dyDescent="0.35">
      <c r="A415">
        <v>2018</v>
      </c>
      <c r="B415" t="s">
        <v>20</v>
      </c>
      <c r="C415" t="s">
        <v>8</v>
      </c>
      <c r="D415" s="3">
        <v>19</v>
      </c>
      <c r="E415" s="3">
        <v>91</v>
      </c>
      <c r="F415" s="3">
        <v>110</v>
      </c>
      <c r="G415" s="3">
        <v>12</v>
      </c>
      <c r="H415" s="17">
        <v>1181463612</v>
      </c>
      <c r="I415" s="3">
        <v>111992.36</v>
      </c>
      <c r="J415" s="3">
        <v>0</v>
      </c>
      <c r="K415" s="10">
        <v>0</v>
      </c>
      <c r="L415" s="3">
        <v>49</v>
      </c>
      <c r="M415" s="3">
        <v>5</v>
      </c>
      <c r="N415" s="3">
        <v>1</v>
      </c>
      <c r="O415" s="3">
        <v>3</v>
      </c>
      <c r="P415" s="3">
        <v>52</v>
      </c>
      <c r="Q415" s="3">
        <v>4</v>
      </c>
    </row>
    <row r="416" spans="1:17" x14ac:dyDescent="0.35">
      <c r="A416">
        <v>2018</v>
      </c>
      <c r="B416" t="s">
        <v>20</v>
      </c>
      <c r="C416" t="s">
        <v>9</v>
      </c>
      <c r="D416" s="3">
        <v>0</v>
      </c>
      <c r="E416" s="3">
        <v>42</v>
      </c>
      <c r="F416" s="3">
        <v>42</v>
      </c>
      <c r="G416" s="3">
        <v>2</v>
      </c>
      <c r="H416" s="17">
        <v>71997100</v>
      </c>
      <c r="I416" s="3">
        <v>6227</v>
      </c>
      <c r="J416" s="3">
        <v>10</v>
      </c>
      <c r="K416" s="10">
        <v>0</v>
      </c>
      <c r="L416" s="3">
        <v>25</v>
      </c>
      <c r="M416" s="3">
        <v>0</v>
      </c>
      <c r="N416" s="3">
        <v>1</v>
      </c>
      <c r="O416" s="3">
        <v>1</v>
      </c>
      <c r="P416" s="3">
        <v>5</v>
      </c>
      <c r="Q416" s="3">
        <v>3</v>
      </c>
    </row>
    <row r="417" spans="1:17" x14ac:dyDescent="0.35">
      <c r="A417">
        <v>2018</v>
      </c>
      <c r="B417" t="s">
        <v>20</v>
      </c>
      <c r="C417" t="s">
        <v>10</v>
      </c>
      <c r="D417" s="3">
        <v>37</v>
      </c>
      <c r="E417" s="3">
        <v>124</v>
      </c>
      <c r="F417" s="3">
        <v>161</v>
      </c>
      <c r="G417" s="3">
        <v>13</v>
      </c>
      <c r="H417" s="17">
        <v>485871900</v>
      </c>
      <c r="I417" s="3">
        <v>51535</v>
      </c>
      <c r="J417" s="3">
        <v>3</v>
      </c>
      <c r="K417" s="10">
        <v>0</v>
      </c>
      <c r="L417" s="3">
        <v>94</v>
      </c>
      <c r="M417" s="3">
        <v>10</v>
      </c>
      <c r="N417" s="3">
        <v>2</v>
      </c>
      <c r="O417" s="3">
        <v>3</v>
      </c>
      <c r="P417" s="3">
        <v>49</v>
      </c>
      <c r="Q417" s="3">
        <v>5</v>
      </c>
    </row>
    <row r="418" spans="1:17" x14ac:dyDescent="0.35">
      <c r="A418">
        <v>2018</v>
      </c>
      <c r="B418" t="s">
        <v>20</v>
      </c>
      <c r="C418" t="s">
        <v>11</v>
      </c>
      <c r="D418" s="3">
        <v>27</v>
      </c>
      <c r="E418" s="3">
        <v>74</v>
      </c>
      <c r="F418" s="3">
        <v>101</v>
      </c>
      <c r="G418" s="3">
        <v>3</v>
      </c>
      <c r="H418" s="17">
        <v>104611800</v>
      </c>
      <c r="I418" s="3">
        <v>9814</v>
      </c>
      <c r="J418" s="3">
        <v>7</v>
      </c>
      <c r="K418" s="10">
        <v>0</v>
      </c>
      <c r="L418" s="3">
        <v>43</v>
      </c>
      <c r="M418" s="3">
        <v>3</v>
      </c>
      <c r="N418" s="3">
        <v>0</v>
      </c>
      <c r="O418" s="3">
        <v>2</v>
      </c>
      <c r="P418" s="3">
        <v>46</v>
      </c>
      <c r="Q418" s="3">
        <v>0</v>
      </c>
    </row>
    <row r="419" spans="1:17" x14ac:dyDescent="0.35">
      <c r="A419">
        <v>2018</v>
      </c>
      <c r="B419" t="s">
        <v>20</v>
      </c>
      <c r="C419" t="s">
        <v>12</v>
      </c>
      <c r="D419" s="3">
        <v>21</v>
      </c>
      <c r="E419" s="3">
        <v>32</v>
      </c>
      <c r="F419" s="3">
        <v>53</v>
      </c>
      <c r="G419" s="3">
        <v>4</v>
      </c>
      <c r="H419" s="17">
        <v>145127923</v>
      </c>
      <c r="I419" s="3">
        <v>12823.06</v>
      </c>
      <c r="J419" s="3">
        <v>1</v>
      </c>
      <c r="K419" s="10">
        <v>0</v>
      </c>
      <c r="L419" s="3">
        <v>24</v>
      </c>
      <c r="M419" s="3">
        <v>12</v>
      </c>
      <c r="N419" s="3">
        <v>0</v>
      </c>
      <c r="O419" s="3">
        <v>0</v>
      </c>
      <c r="P419" s="3">
        <v>16</v>
      </c>
      <c r="Q419" s="3">
        <v>0</v>
      </c>
    </row>
    <row r="420" spans="1:17" x14ac:dyDescent="0.35">
      <c r="A420">
        <v>2018</v>
      </c>
      <c r="B420" t="s">
        <v>21</v>
      </c>
      <c r="C420" t="s">
        <v>8</v>
      </c>
      <c r="D420" s="3">
        <v>18</v>
      </c>
      <c r="E420" s="3">
        <v>59</v>
      </c>
      <c r="F420" s="3">
        <v>77</v>
      </c>
      <c r="G420" s="3">
        <v>8</v>
      </c>
      <c r="H420" s="17">
        <v>349519267</v>
      </c>
      <c r="I420" s="3">
        <v>30565.73</v>
      </c>
      <c r="J420" s="3">
        <v>0</v>
      </c>
      <c r="K420" s="10">
        <v>0</v>
      </c>
      <c r="L420" s="3">
        <v>39</v>
      </c>
      <c r="M420" s="3">
        <v>3</v>
      </c>
      <c r="N420" s="3">
        <v>0</v>
      </c>
      <c r="O420" s="3">
        <v>0</v>
      </c>
      <c r="P420" s="3">
        <v>35</v>
      </c>
      <c r="Q420" s="3">
        <v>8</v>
      </c>
    </row>
    <row r="421" spans="1:17" x14ac:dyDescent="0.35">
      <c r="A421">
        <v>2018</v>
      </c>
      <c r="B421" t="s">
        <v>21</v>
      </c>
      <c r="C421" t="s">
        <v>9</v>
      </c>
      <c r="D421" s="3">
        <v>0</v>
      </c>
      <c r="E421" s="3">
        <v>25</v>
      </c>
      <c r="F421" s="3">
        <v>25</v>
      </c>
      <c r="G421" s="3">
        <v>1</v>
      </c>
      <c r="H421" s="17">
        <v>21427900</v>
      </c>
      <c r="I421" s="3">
        <v>1693</v>
      </c>
      <c r="J421" s="3">
        <v>8</v>
      </c>
      <c r="K421" s="10">
        <v>0</v>
      </c>
      <c r="L421" s="3">
        <v>12</v>
      </c>
      <c r="M421" s="3">
        <v>0</v>
      </c>
      <c r="N421" s="3">
        <v>1</v>
      </c>
      <c r="O421" s="3">
        <v>1</v>
      </c>
      <c r="P421" s="3">
        <v>3</v>
      </c>
      <c r="Q421" s="3">
        <v>0</v>
      </c>
    </row>
    <row r="422" spans="1:17" x14ac:dyDescent="0.35">
      <c r="A422">
        <v>2018</v>
      </c>
      <c r="B422" t="s">
        <v>21</v>
      </c>
      <c r="C422" t="s">
        <v>10</v>
      </c>
      <c r="D422" s="3">
        <v>17</v>
      </c>
      <c r="E422" s="3">
        <v>80</v>
      </c>
      <c r="F422" s="3">
        <v>97</v>
      </c>
      <c r="G422" s="3">
        <v>5</v>
      </c>
      <c r="H422" s="17">
        <v>172314200</v>
      </c>
      <c r="I422" s="3">
        <v>15559</v>
      </c>
      <c r="J422" s="3">
        <v>0</v>
      </c>
      <c r="K422" s="10">
        <v>0</v>
      </c>
      <c r="L422" s="3">
        <v>55</v>
      </c>
      <c r="M422" s="3">
        <v>13</v>
      </c>
      <c r="N422" s="3">
        <v>1</v>
      </c>
      <c r="O422" s="3">
        <v>2</v>
      </c>
      <c r="P422" s="3">
        <v>26</v>
      </c>
      <c r="Q422" s="3">
        <v>16</v>
      </c>
    </row>
    <row r="423" spans="1:17" x14ac:dyDescent="0.35">
      <c r="A423">
        <v>2018</v>
      </c>
      <c r="B423" t="s">
        <v>21</v>
      </c>
      <c r="C423" t="s">
        <v>11</v>
      </c>
      <c r="D423" s="3">
        <v>13</v>
      </c>
      <c r="E423" s="3">
        <v>52</v>
      </c>
      <c r="F423" s="3">
        <v>65</v>
      </c>
      <c r="G423" s="3">
        <v>5</v>
      </c>
      <c r="H423" s="17">
        <v>158954900</v>
      </c>
      <c r="I423" s="3">
        <v>14551</v>
      </c>
      <c r="J423" s="3">
        <v>3</v>
      </c>
      <c r="K423" s="10">
        <v>0</v>
      </c>
      <c r="L423" s="3">
        <v>30</v>
      </c>
      <c r="M423" s="3">
        <v>7</v>
      </c>
      <c r="N423" s="3">
        <v>0</v>
      </c>
      <c r="O423" s="3">
        <v>1</v>
      </c>
      <c r="P423" s="3">
        <v>24</v>
      </c>
      <c r="Q423" s="3">
        <v>0</v>
      </c>
    </row>
    <row r="424" spans="1:17" x14ac:dyDescent="0.35">
      <c r="A424">
        <v>2018</v>
      </c>
      <c r="B424" t="s">
        <v>21</v>
      </c>
      <c r="C424" t="s">
        <v>12</v>
      </c>
      <c r="D424" s="3">
        <v>15</v>
      </c>
      <c r="E424" s="3">
        <v>47</v>
      </c>
      <c r="F424" s="3">
        <v>62</v>
      </c>
      <c r="G424" s="3">
        <v>4</v>
      </c>
      <c r="H424" s="17">
        <v>129487044.3</v>
      </c>
      <c r="I424" s="3">
        <v>14778.45</v>
      </c>
      <c r="J424" s="3">
        <v>0</v>
      </c>
      <c r="K424" s="10">
        <v>0</v>
      </c>
      <c r="L424" s="3">
        <v>25</v>
      </c>
      <c r="M424" s="3">
        <v>23</v>
      </c>
      <c r="N424" s="3">
        <v>0</v>
      </c>
      <c r="O424" s="3">
        <v>1</v>
      </c>
      <c r="P424" s="3">
        <v>13</v>
      </c>
      <c r="Q424" s="3">
        <v>0</v>
      </c>
    </row>
    <row r="425" spans="1:17" x14ac:dyDescent="0.35">
      <c r="A425">
        <v>2017</v>
      </c>
      <c r="B425" t="s">
        <v>7</v>
      </c>
      <c r="C425" t="s">
        <v>8</v>
      </c>
      <c r="D425" s="3">
        <v>29</v>
      </c>
      <c r="E425" s="3">
        <v>101</v>
      </c>
      <c r="F425" s="3">
        <v>130</v>
      </c>
      <c r="G425" s="3">
        <v>8</v>
      </c>
      <c r="H425" s="17">
        <v>189217784</v>
      </c>
      <c r="I425" s="3">
        <v>16572.099999999999</v>
      </c>
      <c r="J425" s="3">
        <v>0</v>
      </c>
      <c r="K425" s="10">
        <v>0</v>
      </c>
      <c r="L425" s="3">
        <v>58</v>
      </c>
      <c r="M425" s="3">
        <v>5</v>
      </c>
      <c r="N425" s="3">
        <v>0</v>
      </c>
      <c r="O425" s="3">
        <v>2</v>
      </c>
      <c r="P425" s="3">
        <v>65</v>
      </c>
      <c r="Q425" s="3">
        <v>0</v>
      </c>
    </row>
    <row r="426" spans="1:17" x14ac:dyDescent="0.35">
      <c r="A426">
        <v>2017</v>
      </c>
      <c r="B426" t="s">
        <v>7</v>
      </c>
      <c r="C426" t="s">
        <v>9</v>
      </c>
      <c r="D426" s="3">
        <v>0</v>
      </c>
      <c r="E426" s="3">
        <v>27</v>
      </c>
      <c r="F426" s="3">
        <v>27</v>
      </c>
      <c r="G426" s="3">
        <v>0</v>
      </c>
      <c r="H426" s="17">
        <v>22178800</v>
      </c>
      <c r="I426" s="3">
        <v>1930</v>
      </c>
      <c r="J426" s="3">
        <v>6</v>
      </c>
      <c r="K426" s="10">
        <v>0</v>
      </c>
      <c r="L426" s="3">
        <v>17</v>
      </c>
      <c r="M426" s="3">
        <v>0</v>
      </c>
      <c r="N426" s="3">
        <v>3</v>
      </c>
      <c r="O426" s="3">
        <v>1</v>
      </c>
      <c r="P426" s="3">
        <v>0</v>
      </c>
      <c r="Q426" s="3">
        <v>15</v>
      </c>
    </row>
    <row r="427" spans="1:17" x14ac:dyDescent="0.35">
      <c r="A427">
        <v>2017</v>
      </c>
      <c r="B427" t="s">
        <v>7</v>
      </c>
      <c r="C427" t="s">
        <v>10</v>
      </c>
      <c r="D427" s="3">
        <v>58</v>
      </c>
      <c r="E427" s="3">
        <v>149</v>
      </c>
      <c r="F427" s="3">
        <v>207</v>
      </c>
      <c r="G427" s="3">
        <v>10</v>
      </c>
      <c r="H427" s="17">
        <v>284457804</v>
      </c>
      <c r="I427" s="3">
        <v>27406</v>
      </c>
      <c r="J427" s="3">
        <v>0</v>
      </c>
      <c r="K427" s="10">
        <v>0</v>
      </c>
      <c r="L427" s="3">
        <v>129</v>
      </c>
      <c r="M427" s="3">
        <v>11</v>
      </c>
      <c r="N427" s="3">
        <v>1</v>
      </c>
      <c r="O427" s="3">
        <v>1</v>
      </c>
      <c r="P427" s="3">
        <v>65</v>
      </c>
      <c r="Q427" s="3">
        <v>20</v>
      </c>
    </row>
    <row r="428" spans="1:17" x14ac:dyDescent="0.35">
      <c r="A428">
        <v>2017</v>
      </c>
      <c r="B428" t="s">
        <v>7</v>
      </c>
      <c r="C428" t="s">
        <v>11</v>
      </c>
      <c r="D428" s="3">
        <v>21</v>
      </c>
      <c r="E428" s="3">
        <v>72</v>
      </c>
      <c r="F428" s="3">
        <v>93</v>
      </c>
      <c r="G428" s="3">
        <v>5</v>
      </c>
      <c r="H428" s="17">
        <v>563648700</v>
      </c>
      <c r="I428" s="3">
        <v>67096</v>
      </c>
      <c r="J428" s="3">
        <v>5</v>
      </c>
      <c r="K428" s="10">
        <v>0</v>
      </c>
      <c r="L428" s="3">
        <v>47</v>
      </c>
      <c r="M428" s="3">
        <v>3</v>
      </c>
      <c r="N428" s="3">
        <v>0</v>
      </c>
      <c r="O428" s="3">
        <v>1</v>
      </c>
      <c r="P428" s="3">
        <v>37</v>
      </c>
      <c r="Q428" s="3">
        <v>0</v>
      </c>
    </row>
    <row r="429" spans="1:17" x14ac:dyDescent="0.35">
      <c r="A429">
        <v>2017</v>
      </c>
      <c r="B429" t="s">
        <v>7</v>
      </c>
      <c r="C429" t="s">
        <v>12</v>
      </c>
      <c r="D429" s="3">
        <v>65</v>
      </c>
      <c r="E429" s="3">
        <v>46</v>
      </c>
      <c r="F429" s="3">
        <v>111</v>
      </c>
      <c r="G429" s="3">
        <v>10</v>
      </c>
      <c r="H429" s="17">
        <v>138786387.69999999</v>
      </c>
      <c r="I429" s="3">
        <v>12089.27</v>
      </c>
      <c r="J429" s="3">
        <v>3</v>
      </c>
      <c r="K429" s="10">
        <v>0</v>
      </c>
      <c r="L429" s="3">
        <v>35</v>
      </c>
      <c r="M429" s="3">
        <v>20</v>
      </c>
      <c r="N429" s="3">
        <v>0</v>
      </c>
      <c r="O429" s="3">
        <v>0</v>
      </c>
      <c r="P429" s="3">
        <v>35</v>
      </c>
      <c r="Q429" s="3">
        <v>0</v>
      </c>
    </row>
    <row r="430" spans="1:17" x14ac:dyDescent="0.35">
      <c r="A430">
        <v>2017</v>
      </c>
      <c r="B430" t="s">
        <v>27</v>
      </c>
      <c r="C430" t="s">
        <v>8</v>
      </c>
      <c r="D430" s="3">
        <v>45</v>
      </c>
      <c r="E430" s="3">
        <v>110</v>
      </c>
      <c r="F430" s="3">
        <v>155</v>
      </c>
      <c r="G430" s="3">
        <v>11</v>
      </c>
      <c r="H430" s="17">
        <v>2724736898.5</v>
      </c>
      <c r="I430" s="3">
        <v>245491.05</v>
      </c>
      <c r="J430" s="3">
        <v>0</v>
      </c>
      <c r="K430" s="10">
        <v>0</v>
      </c>
      <c r="L430" s="3">
        <v>69</v>
      </c>
      <c r="M430" s="3">
        <v>12</v>
      </c>
      <c r="N430" s="3">
        <v>3</v>
      </c>
      <c r="O430" s="3">
        <v>0</v>
      </c>
      <c r="P430" s="3">
        <v>71</v>
      </c>
      <c r="Q430" s="3">
        <v>9</v>
      </c>
    </row>
    <row r="431" spans="1:17" x14ac:dyDescent="0.35">
      <c r="A431">
        <v>2017</v>
      </c>
      <c r="B431" t="s">
        <v>27</v>
      </c>
      <c r="C431" t="s">
        <v>9</v>
      </c>
      <c r="D431" s="3">
        <v>5</v>
      </c>
      <c r="E431" s="3">
        <v>35</v>
      </c>
      <c r="F431" s="3">
        <v>40</v>
      </c>
      <c r="G431" s="3">
        <v>4</v>
      </c>
      <c r="H431" s="17">
        <v>118241850</v>
      </c>
      <c r="I431" s="3">
        <v>14253</v>
      </c>
      <c r="J431" s="3">
        <v>5</v>
      </c>
      <c r="K431" s="10">
        <v>0</v>
      </c>
      <c r="L431" s="3">
        <v>25</v>
      </c>
      <c r="M431" s="3">
        <v>3</v>
      </c>
      <c r="N431" s="3">
        <v>0</v>
      </c>
      <c r="O431" s="3">
        <v>2</v>
      </c>
      <c r="P431" s="3">
        <v>5</v>
      </c>
      <c r="Q431" s="3">
        <v>14</v>
      </c>
    </row>
    <row r="432" spans="1:17" x14ac:dyDescent="0.35">
      <c r="A432">
        <v>2017</v>
      </c>
      <c r="B432" t="s">
        <v>27</v>
      </c>
      <c r="C432" t="s">
        <v>10</v>
      </c>
      <c r="D432" s="3">
        <v>81</v>
      </c>
      <c r="E432" s="3">
        <v>181</v>
      </c>
      <c r="F432" s="3">
        <v>262</v>
      </c>
      <c r="G432" s="3">
        <v>12</v>
      </c>
      <c r="H432" s="17">
        <v>494493900</v>
      </c>
      <c r="I432" s="3">
        <v>49926</v>
      </c>
      <c r="J432" s="3">
        <v>11</v>
      </c>
      <c r="K432" s="10">
        <v>0</v>
      </c>
      <c r="L432" s="3">
        <v>160</v>
      </c>
      <c r="M432" s="3">
        <v>12</v>
      </c>
      <c r="N432" s="3">
        <v>1</v>
      </c>
      <c r="O432" s="3">
        <v>1</v>
      </c>
      <c r="P432" s="3">
        <v>77</v>
      </c>
      <c r="Q432" s="3">
        <v>16</v>
      </c>
    </row>
    <row r="433" spans="1:17" x14ac:dyDescent="0.35">
      <c r="A433">
        <v>2017</v>
      </c>
      <c r="B433" t="s">
        <v>27</v>
      </c>
      <c r="C433" t="s">
        <v>11</v>
      </c>
      <c r="D433" s="3">
        <v>30</v>
      </c>
      <c r="E433" s="3">
        <v>81</v>
      </c>
      <c r="F433" s="3">
        <v>111</v>
      </c>
      <c r="G433" s="3">
        <v>5</v>
      </c>
      <c r="H433" s="17">
        <v>168681100</v>
      </c>
      <c r="I433" s="3">
        <v>15116</v>
      </c>
      <c r="J433" s="3">
        <v>5</v>
      </c>
      <c r="K433" s="10">
        <v>0</v>
      </c>
      <c r="L433" s="3">
        <v>54</v>
      </c>
      <c r="M433" s="3">
        <v>12</v>
      </c>
      <c r="N433" s="3">
        <v>1</v>
      </c>
      <c r="O433" s="3">
        <v>0</v>
      </c>
      <c r="P433" s="3">
        <v>39</v>
      </c>
      <c r="Q433" s="3">
        <v>0</v>
      </c>
    </row>
    <row r="434" spans="1:17" x14ac:dyDescent="0.35">
      <c r="A434">
        <v>2017</v>
      </c>
      <c r="B434" t="s">
        <v>27</v>
      </c>
      <c r="C434" t="s">
        <v>12</v>
      </c>
      <c r="D434" s="3">
        <v>26</v>
      </c>
      <c r="E434" s="3">
        <v>52</v>
      </c>
      <c r="F434" s="3">
        <v>78</v>
      </c>
      <c r="G434" s="3">
        <v>5</v>
      </c>
      <c r="H434" s="17">
        <v>160202260.40000001</v>
      </c>
      <c r="I434" s="3">
        <v>14592</v>
      </c>
      <c r="J434" s="3">
        <v>3</v>
      </c>
      <c r="K434" s="10">
        <v>0</v>
      </c>
      <c r="L434" s="3">
        <v>31</v>
      </c>
      <c r="M434" s="3">
        <v>22</v>
      </c>
      <c r="N434" s="3">
        <v>0</v>
      </c>
      <c r="O434" s="3">
        <v>1</v>
      </c>
      <c r="P434" s="3">
        <v>21</v>
      </c>
      <c r="Q434" s="3">
        <v>0</v>
      </c>
    </row>
    <row r="435" spans="1:17" x14ac:dyDescent="0.35">
      <c r="A435">
        <v>2017</v>
      </c>
      <c r="B435" t="s">
        <v>26</v>
      </c>
      <c r="C435" t="s">
        <v>8</v>
      </c>
      <c r="D435" s="3">
        <v>63</v>
      </c>
      <c r="E435" s="3">
        <v>112</v>
      </c>
      <c r="F435" s="3">
        <v>130</v>
      </c>
      <c r="G435" s="3">
        <v>13</v>
      </c>
      <c r="H435" s="17">
        <v>1213325800</v>
      </c>
      <c r="I435" s="3">
        <v>123166</v>
      </c>
      <c r="J435" s="3">
        <v>3</v>
      </c>
      <c r="K435" s="10">
        <v>0</v>
      </c>
      <c r="L435" s="3">
        <v>65</v>
      </c>
      <c r="M435" s="3">
        <v>12</v>
      </c>
      <c r="N435" s="3">
        <v>1</v>
      </c>
      <c r="O435" s="3">
        <v>2</v>
      </c>
      <c r="P435" s="3">
        <v>92</v>
      </c>
      <c r="Q435" s="3">
        <v>4</v>
      </c>
    </row>
    <row r="436" spans="1:17" x14ac:dyDescent="0.35">
      <c r="A436">
        <v>2017</v>
      </c>
      <c r="B436" t="s">
        <v>26</v>
      </c>
      <c r="C436" t="s">
        <v>9</v>
      </c>
      <c r="D436" s="3">
        <v>1</v>
      </c>
      <c r="E436" s="3">
        <v>43</v>
      </c>
      <c r="F436" s="3">
        <v>27</v>
      </c>
      <c r="G436" s="3">
        <v>2</v>
      </c>
      <c r="H436" s="17">
        <v>64998700</v>
      </c>
      <c r="I436" s="3">
        <v>5908</v>
      </c>
      <c r="J436" s="3">
        <v>1</v>
      </c>
      <c r="K436" s="10">
        <v>0</v>
      </c>
      <c r="L436" s="3">
        <v>30</v>
      </c>
      <c r="M436" s="3">
        <v>0</v>
      </c>
      <c r="N436" s="3">
        <v>1</v>
      </c>
      <c r="O436" s="3">
        <v>2</v>
      </c>
      <c r="P436" s="3">
        <v>10</v>
      </c>
      <c r="Q436" s="3">
        <v>11</v>
      </c>
    </row>
    <row r="437" spans="1:17" x14ac:dyDescent="0.35">
      <c r="A437">
        <v>2017</v>
      </c>
      <c r="B437" t="s">
        <v>26</v>
      </c>
      <c r="C437" t="s">
        <v>10</v>
      </c>
      <c r="D437" s="3">
        <v>60</v>
      </c>
      <c r="E437" s="3">
        <v>166</v>
      </c>
      <c r="F437" s="3">
        <v>207</v>
      </c>
      <c r="G437" s="3">
        <v>7</v>
      </c>
      <c r="H437" s="17">
        <v>311969900</v>
      </c>
      <c r="I437" s="3">
        <v>30204</v>
      </c>
      <c r="J437" s="3">
        <v>2</v>
      </c>
      <c r="K437" s="10">
        <v>0</v>
      </c>
      <c r="L437" s="3">
        <v>160</v>
      </c>
      <c r="M437" s="3">
        <v>7</v>
      </c>
      <c r="N437" s="3">
        <v>0</v>
      </c>
      <c r="O437" s="3">
        <v>3</v>
      </c>
      <c r="P437" s="3">
        <v>54</v>
      </c>
      <c r="Q437" s="3">
        <v>5</v>
      </c>
    </row>
    <row r="438" spans="1:17" x14ac:dyDescent="0.35">
      <c r="A438">
        <v>2017</v>
      </c>
      <c r="B438" t="s">
        <v>26</v>
      </c>
      <c r="C438" t="s">
        <v>11</v>
      </c>
      <c r="D438" s="3">
        <v>19</v>
      </c>
      <c r="E438" s="3">
        <v>73</v>
      </c>
      <c r="F438" s="3">
        <v>93</v>
      </c>
      <c r="G438" s="3">
        <v>3</v>
      </c>
      <c r="H438" s="17">
        <v>131225200</v>
      </c>
      <c r="I438" s="3">
        <v>10848</v>
      </c>
      <c r="J438" s="3">
        <v>7</v>
      </c>
      <c r="K438" s="10">
        <v>0</v>
      </c>
      <c r="L438" s="3">
        <v>51</v>
      </c>
      <c r="M438" s="3">
        <v>7</v>
      </c>
      <c r="N438" s="3">
        <v>0</v>
      </c>
      <c r="O438" s="3">
        <v>0</v>
      </c>
      <c r="P438" s="3">
        <v>27</v>
      </c>
      <c r="Q438" s="3">
        <v>0</v>
      </c>
    </row>
    <row r="439" spans="1:17" x14ac:dyDescent="0.35">
      <c r="A439">
        <v>2017</v>
      </c>
      <c r="B439" t="s">
        <v>26</v>
      </c>
      <c r="C439" t="s">
        <v>12</v>
      </c>
      <c r="D439" s="3">
        <v>47</v>
      </c>
      <c r="E439" s="3">
        <v>59</v>
      </c>
      <c r="F439" s="3">
        <v>111</v>
      </c>
      <c r="G439" s="3">
        <v>11</v>
      </c>
      <c r="H439" s="17">
        <v>276095489.30000001</v>
      </c>
      <c r="I439" s="3">
        <v>28137.61</v>
      </c>
      <c r="J439" s="3">
        <v>2</v>
      </c>
      <c r="K439" s="10">
        <v>0</v>
      </c>
      <c r="L439" s="3">
        <v>41</v>
      </c>
      <c r="M439" s="3">
        <v>33</v>
      </c>
      <c r="N439" s="3">
        <v>1</v>
      </c>
      <c r="O439" s="3">
        <v>2</v>
      </c>
      <c r="P439" s="3">
        <v>27</v>
      </c>
      <c r="Q439" s="3">
        <v>0</v>
      </c>
    </row>
    <row r="440" spans="1:17" x14ac:dyDescent="0.35">
      <c r="A440">
        <v>2017</v>
      </c>
      <c r="B440" t="s">
        <v>13</v>
      </c>
      <c r="C440" t="s">
        <v>8</v>
      </c>
      <c r="D440" s="3">
        <v>41</v>
      </c>
      <c r="E440" s="3">
        <v>84</v>
      </c>
      <c r="F440" s="3">
        <v>155</v>
      </c>
      <c r="G440" s="3">
        <v>7</v>
      </c>
      <c r="H440" s="17">
        <v>207422280</v>
      </c>
      <c r="I440" s="3">
        <v>22190</v>
      </c>
      <c r="J440" s="3">
        <v>0</v>
      </c>
      <c r="K440" s="10">
        <v>0</v>
      </c>
      <c r="L440" s="3">
        <v>64</v>
      </c>
      <c r="M440" s="3">
        <v>1</v>
      </c>
      <c r="N440" s="3">
        <v>0</v>
      </c>
      <c r="O440" s="3">
        <v>3</v>
      </c>
      <c r="P440" s="3">
        <v>57</v>
      </c>
      <c r="Q440" s="3">
        <v>3</v>
      </c>
    </row>
    <row r="441" spans="1:17" x14ac:dyDescent="0.35">
      <c r="A441">
        <v>2017</v>
      </c>
      <c r="B441" t="s">
        <v>13</v>
      </c>
      <c r="C441" t="s">
        <v>9</v>
      </c>
      <c r="D441" s="3">
        <v>3</v>
      </c>
      <c r="E441" s="3">
        <v>39</v>
      </c>
      <c r="F441" s="3">
        <v>40</v>
      </c>
      <c r="G441" s="3">
        <v>0</v>
      </c>
      <c r="H441" s="17">
        <v>42333500</v>
      </c>
      <c r="I441" s="3">
        <v>3627</v>
      </c>
      <c r="J441" s="3">
        <v>0</v>
      </c>
      <c r="K441" s="10">
        <v>0</v>
      </c>
      <c r="L441" s="3">
        <v>29</v>
      </c>
      <c r="M441" s="3">
        <v>0</v>
      </c>
      <c r="N441" s="3">
        <v>0</v>
      </c>
      <c r="O441" s="3">
        <v>1</v>
      </c>
      <c r="P441" s="3">
        <v>12</v>
      </c>
      <c r="Q441" s="3">
        <v>16</v>
      </c>
    </row>
    <row r="442" spans="1:17" x14ac:dyDescent="0.35">
      <c r="A442">
        <v>2017</v>
      </c>
      <c r="B442" t="s">
        <v>13</v>
      </c>
      <c r="C442" t="s">
        <v>10</v>
      </c>
      <c r="D442" s="3">
        <v>32</v>
      </c>
      <c r="E442" s="3">
        <v>124</v>
      </c>
      <c r="F442" s="3">
        <v>262</v>
      </c>
      <c r="G442" s="3">
        <v>12</v>
      </c>
      <c r="H442" s="17">
        <v>238326200</v>
      </c>
      <c r="I442" s="3">
        <v>24340</v>
      </c>
      <c r="J442" s="3">
        <v>1</v>
      </c>
      <c r="K442" s="10">
        <v>0</v>
      </c>
      <c r="L442" s="3">
        <v>87</v>
      </c>
      <c r="M442" s="3">
        <v>15</v>
      </c>
      <c r="N442" s="3">
        <v>0</v>
      </c>
      <c r="O442" s="3">
        <v>3</v>
      </c>
      <c r="P442" s="3">
        <v>50</v>
      </c>
      <c r="Q442" s="3">
        <v>28</v>
      </c>
    </row>
    <row r="443" spans="1:17" x14ac:dyDescent="0.35">
      <c r="A443">
        <v>2017</v>
      </c>
      <c r="B443" t="s">
        <v>13</v>
      </c>
      <c r="C443" t="s">
        <v>11</v>
      </c>
      <c r="D443" s="3">
        <v>22</v>
      </c>
      <c r="E443" s="3">
        <v>58</v>
      </c>
      <c r="F443" s="3">
        <v>111</v>
      </c>
      <c r="G443" s="3">
        <v>3</v>
      </c>
      <c r="H443" s="17">
        <v>170546107</v>
      </c>
      <c r="I443" s="3">
        <v>19174</v>
      </c>
      <c r="J443" s="3">
        <v>5</v>
      </c>
      <c r="K443" s="10">
        <v>0</v>
      </c>
      <c r="L443" s="3">
        <v>45</v>
      </c>
      <c r="M443" s="3">
        <v>6</v>
      </c>
      <c r="N443" s="3">
        <v>0</v>
      </c>
      <c r="O443" s="3">
        <v>2</v>
      </c>
      <c r="P443" s="3">
        <v>23</v>
      </c>
      <c r="Q443" s="3">
        <v>0</v>
      </c>
    </row>
    <row r="444" spans="1:17" x14ac:dyDescent="0.35">
      <c r="A444">
        <v>2017</v>
      </c>
      <c r="B444" t="s">
        <v>13</v>
      </c>
      <c r="C444" t="s">
        <v>12</v>
      </c>
      <c r="D444" s="3">
        <v>39</v>
      </c>
      <c r="E444" s="3">
        <v>36</v>
      </c>
      <c r="F444" s="3">
        <v>78</v>
      </c>
      <c r="G444" s="3">
        <v>3</v>
      </c>
      <c r="H444" s="17">
        <v>105017044.40000001</v>
      </c>
      <c r="I444" s="3">
        <v>9932.3700000000008</v>
      </c>
      <c r="J444" s="3">
        <v>0</v>
      </c>
      <c r="K444" s="10">
        <v>0</v>
      </c>
      <c r="L444" s="3">
        <v>31</v>
      </c>
      <c r="M444" s="3">
        <v>32</v>
      </c>
      <c r="N444" s="3">
        <v>0</v>
      </c>
      <c r="O444" s="3">
        <v>0</v>
      </c>
      <c r="P444" s="3">
        <v>12</v>
      </c>
      <c r="Q444" s="3">
        <v>0</v>
      </c>
    </row>
    <row r="445" spans="1:17" x14ac:dyDescent="0.35">
      <c r="A445">
        <v>2017</v>
      </c>
      <c r="B445" t="s">
        <v>14</v>
      </c>
      <c r="C445" t="s">
        <v>8</v>
      </c>
      <c r="D445" s="3">
        <v>38</v>
      </c>
      <c r="E445" s="3">
        <v>96</v>
      </c>
      <c r="F445" s="3">
        <v>175</v>
      </c>
      <c r="G445" s="3">
        <v>12</v>
      </c>
      <c r="H445" s="17">
        <v>279250432</v>
      </c>
      <c r="I445" s="3">
        <v>30049</v>
      </c>
      <c r="J445" s="3">
        <v>0</v>
      </c>
      <c r="K445" s="10">
        <v>0</v>
      </c>
      <c r="L445" s="3">
        <v>60</v>
      </c>
      <c r="M445" s="3">
        <v>13</v>
      </c>
      <c r="N445" s="3">
        <v>0</v>
      </c>
      <c r="O445" s="3">
        <v>2</v>
      </c>
      <c r="P445" s="3">
        <v>59</v>
      </c>
      <c r="Q445" s="3">
        <v>1</v>
      </c>
    </row>
    <row r="446" spans="1:17" x14ac:dyDescent="0.35">
      <c r="A446">
        <v>2017</v>
      </c>
      <c r="B446" t="s">
        <v>14</v>
      </c>
      <c r="C446" t="s">
        <v>9</v>
      </c>
      <c r="D446" s="3">
        <v>12</v>
      </c>
      <c r="E446" s="3">
        <v>49</v>
      </c>
      <c r="F446" s="3">
        <v>44</v>
      </c>
      <c r="G446" s="3">
        <v>6</v>
      </c>
      <c r="H446" s="17">
        <v>156452700</v>
      </c>
      <c r="I446" s="3">
        <v>14374</v>
      </c>
      <c r="J446" s="3">
        <v>3</v>
      </c>
      <c r="K446" s="10">
        <v>0</v>
      </c>
      <c r="L446" s="3">
        <v>41</v>
      </c>
      <c r="M446" s="3">
        <v>5</v>
      </c>
      <c r="N446" s="3">
        <v>2</v>
      </c>
      <c r="O446" s="3">
        <v>0</v>
      </c>
      <c r="P446" s="3">
        <v>10</v>
      </c>
      <c r="Q446" s="3">
        <v>8</v>
      </c>
    </row>
    <row r="447" spans="1:17" x14ac:dyDescent="0.35">
      <c r="A447">
        <v>2017</v>
      </c>
      <c r="B447" t="s">
        <v>14</v>
      </c>
      <c r="C447" t="s">
        <v>10</v>
      </c>
      <c r="D447" s="3">
        <v>26</v>
      </c>
      <c r="E447" s="3">
        <v>202</v>
      </c>
      <c r="F447" s="3">
        <v>226</v>
      </c>
      <c r="G447" s="3">
        <v>18</v>
      </c>
      <c r="H447" s="17">
        <v>1052167200</v>
      </c>
      <c r="I447" s="3">
        <v>104501</v>
      </c>
      <c r="J447" s="3">
        <v>5</v>
      </c>
      <c r="K447" s="10">
        <v>0</v>
      </c>
      <c r="L447" s="3">
        <v>176</v>
      </c>
      <c r="M447" s="3">
        <v>11</v>
      </c>
      <c r="N447" s="3">
        <v>1</v>
      </c>
      <c r="O447" s="3">
        <v>3</v>
      </c>
      <c r="P447" s="3">
        <v>62</v>
      </c>
      <c r="Q447" s="3">
        <v>19</v>
      </c>
    </row>
    <row r="448" spans="1:17" x14ac:dyDescent="0.35">
      <c r="A448">
        <v>2017</v>
      </c>
      <c r="B448" t="s">
        <v>14</v>
      </c>
      <c r="C448" t="s">
        <v>11</v>
      </c>
      <c r="D448" s="3">
        <v>37</v>
      </c>
      <c r="E448" s="3">
        <v>63</v>
      </c>
      <c r="F448" s="3">
        <v>92</v>
      </c>
      <c r="G448" s="3">
        <v>1</v>
      </c>
      <c r="H448" s="17">
        <v>82130000</v>
      </c>
      <c r="I448" s="3">
        <v>7495</v>
      </c>
      <c r="J448" s="3">
        <v>7</v>
      </c>
      <c r="K448" s="10">
        <v>0</v>
      </c>
      <c r="L448" s="3">
        <v>50</v>
      </c>
      <c r="M448" s="3">
        <v>4</v>
      </c>
      <c r="N448" s="3">
        <v>0</v>
      </c>
      <c r="O448" s="3">
        <v>2</v>
      </c>
      <c r="P448" s="3">
        <v>37</v>
      </c>
      <c r="Q448" s="3">
        <v>0</v>
      </c>
    </row>
    <row r="449" spans="1:17" x14ac:dyDescent="0.35">
      <c r="A449">
        <v>2017</v>
      </c>
      <c r="B449" t="s">
        <v>14</v>
      </c>
      <c r="C449" t="s">
        <v>12</v>
      </c>
      <c r="D449" s="3">
        <v>43</v>
      </c>
      <c r="E449" s="3">
        <v>67</v>
      </c>
      <c r="F449" s="3">
        <v>106</v>
      </c>
      <c r="G449" s="3">
        <v>8</v>
      </c>
      <c r="H449" s="17">
        <v>356776014</v>
      </c>
      <c r="I449" s="3">
        <v>33361</v>
      </c>
      <c r="J449" s="3">
        <v>3</v>
      </c>
      <c r="K449" s="10">
        <v>0</v>
      </c>
      <c r="L449" s="3">
        <v>37</v>
      </c>
      <c r="M449" s="3">
        <v>36</v>
      </c>
      <c r="N449" s="3">
        <v>1</v>
      </c>
      <c r="O449" s="3">
        <v>0</v>
      </c>
      <c r="P449" s="3">
        <v>33</v>
      </c>
      <c r="Q449" s="3">
        <v>0</v>
      </c>
    </row>
    <row r="450" spans="1:17" x14ac:dyDescent="0.35">
      <c r="A450">
        <v>2017</v>
      </c>
      <c r="B450" t="s">
        <v>15</v>
      </c>
      <c r="C450" t="s">
        <v>8</v>
      </c>
      <c r="D450" s="3">
        <v>32</v>
      </c>
      <c r="E450" s="3">
        <v>70</v>
      </c>
      <c r="F450" s="3">
        <v>125</v>
      </c>
      <c r="G450" s="3">
        <v>12</v>
      </c>
      <c r="H450" s="17">
        <v>1166639135</v>
      </c>
      <c r="I450" s="3">
        <v>126991.63</v>
      </c>
      <c r="J450" s="3">
        <v>2</v>
      </c>
      <c r="K450" s="10">
        <v>0</v>
      </c>
      <c r="L450" s="3">
        <v>52</v>
      </c>
      <c r="M450" s="3">
        <v>11</v>
      </c>
      <c r="N450" s="3">
        <v>1</v>
      </c>
      <c r="O450" s="3">
        <v>1</v>
      </c>
      <c r="P450" s="3">
        <v>35</v>
      </c>
      <c r="Q450" s="3">
        <v>3</v>
      </c>
    </row>
    <row r="451" spans="1:17" x14ac:dyDescent="0.35">
      <c r="A451">
        <v>2017</v>
      </c>
      <c r="B451" t="s">
        <v>15</v>
      </c>
      <c r="C451" t="s">
        <v>9</v>
      </c>
      <c r="D451" s="3">
        <v>3</v>
      </c>
      <c r="E451" s="3">
        <v>25</v>
      </c>
      <c r="F451" s="3">
        <v>42</v>
      </c>
      <c r="G451" s="3">
        <v>1</v>
      </c>
      <c r="H451" s="17">
        <v>30410700</v>
      </c>
      <c r="I451" s="3">
        <v>3333</v>
      </c>
      <c r="J451" s="3">
        <v>4</v>
      </c>
      <c r="K451" s="10">
        <v>0</v>
      </c>
      <c r="L451" s="3">
        <v>15</v>
      </c>
      <c r="M451" s="3">
        <v>1</v>
      </c>
      <c r="N451" s="3">
        <v>1</v>
      </c>
      <c r="O451" s="3">
        <v>2</v>
      </c>
      <c r="P451" s="3">
        <v>5</v>
      </c>
      <c r="Q451" s="3">
        <v>5</v>
      </c>
    </row>
    <row r="452" spans="1:17" x14ac:dyDescent="0.35">
      <c r="A452">
        <v>2017</v>
      </c>
      <c r="B452" t="s">
        <v>15</v>
      </c>
      <c r="C452" t="s">
        <v>10</v>
      </c>
      <c r="D452" s="3">
        <v>63</v>
      </c>
      <c r="E452" s="3">
        <v>150</v>
      </c>
      <c r="F452" s="3">
        <v>156</v>
      </c>
      <c r="G452" s="3">
        <v>9</v>
      </c>
      <c r="H452" s="17">
        <v>315539900</v>
      </c>
      <c r="I452" s="3">
        <v>27264</v>
      </c>
      <c r="J452" s="3">
        <v>6</v>
      </c>
      <c r="K452" s="10">
        <v>0</v>
      </c>
      <c r="L452" s="3">
        <v>148</v>
      </c>
      <c r="M452" s="3">
        <v>10</v>
      </c>
      <c r="N452" s="3">
        <v>2</v>
      </c>
      <c r="O452" s="3">
        <v>0</v>
      </c>
      <c r="P452" s="3">
        <v>47</v>
      </c>
      <c r="Q452" s="3">
        <v>30</v>
      </c>
    </row>
    <row r="453" spans="1:17" x14ac:dyDescent="0.35">
      <c r="A453">
        <v>2017</v>
      </c>
      <c r="B453" t="s">
        <v>15</v>
      </c>
      <c r="C453" t="s">
        <v>11</v>
      </c>
      <c r="D453" s="3">
        <v>21</v>
      </c>
      <c r="E453" s="3">
        <v>74</v>
      </c>
      <c r="F453" s="3">
        <v>80</v>
      </c>
      <c r="G453" s="3">
        <v>5</v>
      </c>
      <c r="H453" s="17">
        <v>193450042</v>
      </c>
      <c r="I453" s="3">
        <v>16910</v>
      </c>
      <c r="J453" s="3">
        <v>3</v>
      </c>
      <c r="K453" s="10">
        <v>0</v>
      </c>
      <c r="L453" s="3">
        <v>59</v>
      </c>
      <c r="M453" s="3">
        <v>8</v>
      </c>
      <c r="N453" s="3">
        <v>0</v>
      </c>
      <c r="O453" s="3">
        <v>1</v>
      </c>
      <c r="P453" s="3">
        <v>24</v>
      </c>
      <c r="Q453" s="3">
        <v>0</v>
      </c>
    </row>
    <row r="454" spans="1:17" x14ac:dyDescent="0.35">
      <c r="A454">
        <v>2017</v>
      </c>
      <c r="B454" t="s">
        <v>15</v>
      </c>
      <c r="C454" t="s">
        <v>12</v>
      </c>
      <c r="D454" s="3">
        <v>58</v>
      </c>
      <c r="E454" s="3">
        <v>60</v>
      </c>
      <c r="F454" s="3">
        <v>75</v>
      </c>
      <c r="G454" s="3">
        <v>7</v>
      </c>
      <c r="H454" s="17">
        <v>331594808.60000002</v>
      </c>
      <c r="I454" s="3">
        <v>30966.85</v>
      </c>
      <c r="J454" s="3">
        <v>4</v>
      </c>
      <c r="K454" s="10">
        <v>0</v>
      </c>
      <c r="L454" s="3">
        <v>37</v>
      </c>
      <c r="M454" s="3">
        <v>49</v>
      </c>
      <c r="N454" s="3">
        <v>0</v>
      </c>
      <c r="O454" s="3">
        <v>0</v>
      </c>
      <c r="P454" s="3">
        <v>28</v>
      </c>
      <c r="Q454" s="3">
        <v>0</v>
      </c>
    </row>
    <row r="455" spans="1:17" x14ac:dyDescent="0.35">
      <c r="A455">
        <v>2017</v>
      </c>
      <c r="B455" t="s">
        <v>16</v>
      </c>
      <c r="C455" t="s">
        <v>8</v>
      </c>
      <c r="D455" s="3">
        <v>26</v>
      </c>
      <c r="E455" s="3">
        <v>86</v>
      </c>
      <c r="F455" s="3">
        <v>134</v>
      </c>
      <c r="G455" s="3">
        <v>12</v>
      </c>
      <c r="H455" s="17">
        <v>226425398</v>
      </c>
      <c r="I455" s="3">
        <v>27975.46</v>
      </c>
      <c r="J455" s="3">
        <v>3</v>
      </c>
      <c r="K455" s="10">
        <v>0</v>
      </c>
      <c r="L455" s="3">
        <v>49</v>
      </c>
      <c r="M455" s="3">
        <v>11</v>
      </c>
      <c r="N455" s="3">
        <v>1</v>
      </c>
      <c r="O455" s="3">
        <v>5</v>
      </c>
      <c r="P455" s="3">
        <v>43</v>
      </c>
      <c r="Q455" s="3">
        <v>10</v>
      </c>
    </row>
    <row r="456" spans="1:17" x14ac:dyDescent="0.35">
      <c r="A456">
        <v>2017</v>
      </c>
      <c r="B456" t="s">
        <v>16</v>
      </c>
      <c r="C456" t="s">
        <v>9</v>
      </c>
      <c r="D456" s="3">
        <v>2</v>
      </c>
      <c r="E456" s="3">
        <v>38</v>
      </c>
      <c r="F456" s="3">
        <v>61</v>
      </c>
      <c r="G456" s="3">
        <v>5</v>
      </c>
      <c r="H456" s="17">
        <v>104796800</v>
      </c>
      <c r="I456" s="3">
        <v>11203</v>
      </c>
      <c r="J456" s="3">
        <v>4</v>
      </c>
      <c r="K456" s="10">
        <v>0</v>
      </c>
      <c r="L456" s="3">
        <v>24</v>
      </c>
      <c r="M456" s="3">
        <v>0</v>
      </c>
      <c r="N456" s="3">
        <v>0</v>
      </c>
      <c r="O456" s="3">
        <v>1</v>
      </c>
      <c r="P456" s="3">
        <v>11</v>
      </c>
      <c r="Q456" s="3">
        <v>9</v>
      </c>
    </row>
    <row r="457" spans="1:17" x14ac:dyDescent="0.35">
      <c r="A457">
        <v>2017</v>
      </c>
      <c r="B457" t="s">
        <v>16</v>
      </c>
      <c r="C457" t="s">
        <v>10</v>
      </c>
      <c r="D457" s="3">
        <v>49</v>
      </c>
      <c r="E457" s="3">
        <v>214</v>
      </c>
      <c r="F457" s="3">
        <v>228</v>
      </c>
      <c r="G457" s="3">
        <v>22</v>
      </c>
      <c r="H457" s="17">
        <v>679651300</v>
      </c>
      <c r="I457" s="3">
        <v>67066</v>
      </c>
      <c r="J457" s="3">
        <v>0</v>
      </c>
      <c r="K457" s="10">
        <v>0</v>
      </c>
      <c r="L457" s="3">
        <v>175</v>
      </c>
      <c r="M457" s="3">
        <v>14</v>
      </c>
      <c r="N457" s="3">
        <v>2</v>
      </c>
      <c r="O457" s="3">
        <v>2</v>
      </c>
      <c r="P457" s="3">
        <v>70</v>
      </c>
      <c r="Q457" s="3">
        <v>15</v>
      </c>
    </row>
    <row r="458" spans="1:17" x14ac:dyDescent="0.35">
      <c r="A458">
        <v>2017</v>
      </c>
      <c r="B458" t="s">
        <v>16</v>
      </c>
      <c r="C458" t="s">
        <v>11</v>
      </c>
      <c r="D458" s="3">
        <v>21</v>
      </c>
      <c r="E458" s="3">
        <v>106</v>
      </c>
      <c r="F458" s="3">
        <v>100</v>
      </c>
      <c r="G458" s="3">
        <v>4</v>
      </c>
      <c r="H458" s="17">
        <v>197527200</v>
      </c>
      <c r="I458" s="3">
        <v>18010</v>
      </c>
      <c r="J458" s="3">
        <v>11</v>
      </c>
      <c r="K458" s="10">
        <v>0</v>
      </c>
      <c r="L458" s="3">
        <v>71</v>
      </c>
      <c r="M458" s="3">
        <v>10</v>
      </c>
      <c r="N458" s="3">
        <v>1</v>
      </c>
      <c r="O458" s="3">
        <v>0</v>
      </c>
      <c r="P458" s="3">
        <v>34</v>
      </c>
      <c r="Q458" s="3">
        <v>10</v>
      </c>
    </row>
    <row r="459" spans="1:17" x14ac:dyDescent="0.35">
      <c r="A459">
        <v>2017</v>
      </c>
      <c r="B459" t="s">
        <v>16</v>
      </c>
      <c r="C459" t="s">
        <v>12</v>
      </c>
      <c r="D459" s="3">
        <v>34</v>
      </c>
      <c r="E459" s="3">
        <v>40</v>
      </c>
      <c r="F459" s="3">
        <v>110</v>
      </c>
      <c r="G459" s="3">
        <v>4</v>
      </c>
      <c r="H459" s="17">
        <v>86109678.5</v>
      </c>
      <c r="I459" s="3">
        <v>7428.59</v>
      </c>
      <c r="J459" s="3">
        <v>1</v>
      </c>
      <c r="K459" s="10">
        <v>0</v>
      </c>
      <c r="L459" s="3">
        <v>27</v>
      </c>
      <c r="M459" s="3">
        <v>25</v>
      </c>
      <c r="N459" s="3">
        <v>0</v>
      </c>
      <c r="O459" s="3">
        <v>0</v>
      </c>
      <c r="P459" s="3">
        <v>21</v>
      </c>
      <c r="Q459" s="3">
        <v>0</v>
      </c>
    </row>
    <row r="460" spans="1:17" x14ac:dyDescent="0.35">
      <c r="A460">
        <v>2017</v>
      </c>
      <c r="B460" t="s">
        <v>17</v>
      </c>
      <c r="C460" t="s">
        <v>8</v>
      </c>
      <c r="D460" s="3">
        <v>47</v>
      </c>
      <c r="E460" s="3">
        <v>92</v>
      </c>
      <c r="F460" s="3">
        <v>102</v>
      </c>
      <c r="G460" s="3">
        <v>9</v>
      </c>
      <c r="H460" s="17">
        <v>430071800</v>
      </c>
      <c r="I460" s="3">
        <v>39295</v>
      </c>
      <c r="J460" s="3">
        <v>0</v>
      </c>
      <c r="K460" s="10">
        <v>0</v>
      </c>
      <c r="L460" s="3">
        <v>83</v>
      </c>
      <c r="M460" s="3">
        <v>0</v>
      </c>
      <c r="N460" s="3">
        <v>1</v>
      </c>
      <c r="O460" s="3">
        <v>0</v>
      </c>
      <c r="P460" s="3">
        <v>5</v>
      </c>
      <c r="Q460" s="3">
        <v>0</v>
      </c>
    </row>
    <row r="461" spans="1:17" x14ac:dyDescent="0.35">
      <c r="A461">
        <v>2017</v>
      </c>
      <c r="B461" t="s">
        <v>17</v>
      </c>
      <c r="C461" t="s">
        <v>9</v>
      </c>
      <c r="D461" s="3">
        <v>1</v>
      </c>
      <c r="E461" s="3">
        <v>41</v>
      </c>
      <c r="F461" s="3">
        <v>28</v>
      </c>
      <c r="G461" s="3">
        <v>1</v>
      </c>
      <c r="H461" s="17">
        <v>42568500</v>
      </c>
      <c r="I461" s="3">
        <v>3954</v>
      </c>
      <c r="J461" s="3">
        <v>5</v>
      </c>
      <c r="K461" s="10">
        <v>0</v>
      </c>
      <c r="L461" s="3">
        <v>33</v>
      </c>
      <c r="M461" s="3">
        <v>1</v>
      </c>
      <c r="N461" s="3">
        <v>0</v>
      </c>
      <c r="O461" s="3">
        <v>0</v>
      </c>
      <c r="P461" s="3">
        <v>3</v>
      </c>
      <c r="Q461" s="3">
        <v>13</v>
      </c>
    </row>
    <row r="462" spans="1:17" x14ac:dyDescent="0.35">
      <c r="A462">
        <v>2017</v>
      </c>
      <c r="B462" t="s">
        <v>17</v>
      </c>
      <c r="C462" t="s">
        <v>10</v>
      </c>
      <c r="D462" s="3">
        <v>70</v>
      </c>
      <c r="E462" s="3">
        <v>202</v>
      </c>
      <c r="F462" s="3">
        <v>213</v>
      </c>
      <c r="G462" s="3">
        <v>15</v>
      </c>
      <c r="H462" s="17">
        <v>431657100</v>
      </c>
      <c r="I462" s="3">
        <v>40275</v>
      </c>
      <c r="J462" s="3">
        <v>5</v>
      </c>
      <c r="K462" s="10">
        <v>0</v>
      </c>
      <c r="L462" s="3">
        <v>177</v>
      </c>
      <c r="M462" s="3">
        <v>9</v>
      </c>
      <c r="N462" s="3">
        <v>1</v>
      </c>
      <c r="O462" s="3">
        <v>1</v>
      </c>
      <c r="P462" s="3">
        <v>79</v>
      </c>
      <c r="Q462" s="3">
        <v>23</v>
      </c>
    </row>
    <row r="463" spans="1:17" x14ac:dyDescent="0.35">
      <c r="A463">
        <v>2017</v>
      </c>
      <c r="B463" t="s">
        <v>17</v>
      </c>
      <c r="C463" t="s">
        <v>11</v>
      </c>
      <c r="D463" s="3">
        <v>53</v>
      </c>
      <c r="E463" s="3">
        <v>86</v>
      </c>
      <c r="F463" s="3">
        <v>95</v>
      </c>
      <c r="G463" s="3">
        <v>9</v>
      </c>
      <c r="H463" s="17">
        <v>430071800</v>
      </c>
      <c r="I463" s="3">
        <v>39295</v>
      </c>
      <c r="J463" s="3">
        <v>0</v>
      </c>
      <c r="K463" s="10">
        <v>0</v>
      </c>
      <c r="L463" s="3">
        <v>83</v>
      </c>
      <c r="M463" s="3">
        <v>0</v>
      </c>
      <c r="N463" s="3">
        <v>1</v>
      </c>
      <c r="O463" s="3">
        <v>0</v>
      </c>
      <c r="P463" s="3">
        <v>55</v>
      </c>
      <c r="Q463" s="3">
        <v>0</v>
      </c>
    </row>
    <row r="464" spans="1:17" x14ac:dyDescent="0.35">
      <c r="A464">
        <v>2017</v>
      </c>
      <c r="B464" t="s">
        <v>17</v>
      </c>
      <c r="C464" t="s">
        <v>12</v>
      </c>
      <c r="D464" s="3">
        <v>34</v>
      </c>
      <c r="E464" s="3">
        <v>48</v>
      </c>
      <c r="F464" s="3">
        <v>118</v>
      </c>
      <c r="G464" s="3">
        <v>3</v>
      </c>
      <c r="H464" s="17">
        <v>274431453</v>
      </c>
      <c r="I464" s="3">
        <v>25801.43</v>
      </c>
      <c r="J464" s="3">
        <v>6</v>
      </c>
      <c r="K464" s="10">
        <v>0</v>
      </c>
      <c r="L464" s="3">
        <v>34</v>
      </c>
      <c r="M464" s="3">
        <v>21</v>
      </c>
      <c r="N464" s="3">
        <v>1</v>
      </c>
      <c r="O464" s="3">
        <v>1</v>
      </c>
      <c r="P464" s="3">
        <v>19</v>
      </c>
      <c r="Q464" s="3">
        <v>0</v>
      </c>
    </row>
    <row r="465" spans="1:17" x14ac:dyDescent="0.35">
      <c r="A465">
        <v>2017</v>
      </c>
      <c r="B465" t="s">
        <v>18</v>
      </c>
      <c r="C465" t="s">
        <v>8</v>
      </c>
      <c r="D465" s="3">
        <v>26</v>
      </c>
      <c r="E465" s="3">
        <v>72</v>
      </c>
      <c r="F465" s="3">
        <v>112</v>
      </c>
      <c r="G465" s="3">
        <v>11</v>
      </c>
      <c r="H465" s="17">
        <v>381479900</v>
      </c>
      <c r="I465" s="3">
        <v>46950</v>
      </c>
      <c r="J465" s="3">
        <v>0</v>
      </c>
      <c r="K465" s="10">
        <v>0</v>
      </c>
      <c r="L465" s="3">
        <v>52</v>
      </c>
      <c r="M465" s="3">
        <v>5</v>
      </c>
      <c r="N465" s="3">
        <v>2</v>
      </c>
      <c r="O465" s="3">
        <v>1</v>
      </c>
      <c r="P465" s="3">
        <v>38</v>
      </c>
      <c r="Q465" s="3">
        <v>0</v>
      </c>
    </row>
    <row r="466" spans="1:17" x14ac:dyDescent="0.35">
      <c r="A466">
        <v>2017</v>
      </c>
      <c r="B466" t="s">
        <v>18</v>
      </c>
      <c r="C466" t="s">
        <v>9</v>
      </c>
      <c r="D466" s="3">
        <v>9</v>
      </c>
      <c r="E466" s="3">
        <v>30</v>
      </c>
      <c r="F466" s="3">
        <v>40</v>
      </c>
      <c r="G466" s="3">
        <v>2</v>
      </c>
      <c r="H466" s="17">
        <v>44860500</v>
      </c>
      <c r="I466" s="3">
        <v>4234</v>
      </c>
      <c r="J466" s="3">
        <v>3</v>
      </c>
      <c r="K466" s="10">
        <v>0</v>
      </c>
      <c r="L466" s="3">
        <v>27</v>
      </c>
      <c r="M466" s="3">
        <v>1</v>
      </c>
      <c r="N466" s="3">
        <v>0</v>
      </c>
      <c r="O466" s="3">
        <v>0</v>
      </c>
      <c r="P466" s="3">
        <v>8</v>
      </c>
      <c r="Q466" s="3">
        <v>14</v>
      </c>
    </row>
    <row r="467" spans="1:17" x14ac:dyDescent="0.35">
      <c r="A467">
        <v>2017</v>
      </c>
      <c r="B467" t="s">
        <v>18</v>
      </c>
      <c r="C467" t="s">
        <v>10</v>
      </c>
      <c r="D467" s="3">
        <v>39</v>
      </c>
      <c r="E467" s="3">
        <v>146</v>
      </c>
      <c r="F467" s="3">
        <v>263</v>
      </c>
      <c r="G467" s="3">
        <v>5</v>
      </c>
      <c r="H467" s="17">
        <v>214411040</v>
      </c>
      <c r="I467" s="3">
        <v>18654</v>
      </c>
      <c r="J467" s="3">
        <v>5</v>
      </c>
      <c r="K467" s="10">
        <v>0</v>
      </c>
      <c r="L467" s="3">
        <v>120</v>
      </c>
      <c r="M467" s="3">
        <v>10</v>
      </c>
      <c r="N467" s="3">
        <v>2</v>
      </c>
      <c r="O467" s="3">
        <v>0</v>
      </c>
      <c r="P467" s="3">
        <v>48</v>
      </c>
      <c r="Q467" s="3">
        <v>13</v>
      </c>
    </row>
    <row r="468" spans="1:17" x14ac:dyDescent="0.35">
      <c r="A468">
        <v>2017</v>
      </c>
      <c r="B468" t="s">
        <v>18</v>
      </c>
      <c r="C468" t="s">
        <v>11</v>
      </c>
      <c r="D468" s="3">
        <v>13</v>
      </c>
      <c r="E468" s="3">
        <v>34</v>
      </c>
      <c r="F468" s="3">
        <v>127</v>
      </c>
      <c r="G468" s="3">
        <v>1</v>
      </c>
      <c r="H468" s="17">
        <v>62345600</v>
      </c>
      <c r="I468" s="3">
        <v>7763</v>
      </c>
      <c r="J468" s="3">
        <v>7</v>
      </c>
      <c r="K468" s="10">
        <v>0</v>
      </c>
      <c r="L468" s="3">
        <v>22</v>
      </c>
      <c r="M468" s="3">
        <v>3</v>
      </c>
      <c r="N468" s="3">
        <v>0</v>
      </c>
      <c r="O468" s="3">
        <v>1</v>
      </c>
      <c r="P468" s="3">
        <v>14</v>
      </c>
      <c r="Q468" s="3">
        <v>0</v>
      </c>
    </row>
    <row r="469" spans="1:17" x14ac:dyDescent="0.35">
      <c r="A469">
        <v>2017</v>
      </c>
      <c r="B469" t="s">
        <v>18</v>
      </c>
      <c r="C469" t="s">
        <v>12</v>
      </c>
      <c r="D469" s="3">
        <v>34</v>
      </c>
      <c r="E469" s="3">
        <v>47</v>
      </c>
      <c r="F469" s="3">
        <v>74</v>
      </c>
      <c r="G469" s="3">
        <v>7</v>
      </c>
      <c r="H469" s="17">
        <v>121148822</v>
      </c>
      <c r="I469" s="3">
        <v>12195</v>
      </c>
      <c r="J469" s="3">
        <v>1</v>
      </c>
      <c r="K469" s="10">
        <v>0</v>
      </c>
      <c r="L469" s="3">
        <v>26</v>
      </c>
      <c r="M469" s="3">
        <v>29</v>
      </c>
      <c r="N469" s="3">
        <v>0</v>
      </c>
      <c r="O469" s="3">
        <v>0</v>
      </c>
      <c r="P469" s="3">
        <v>25</v>
      </c>
      <c r="Q469" s="3">
        <v>0</v>
      </c>
    </row>
    <row r="470" spans="1:17" x14ac:dyDescent="0.35">
      <c r="A470">
        <v>2017</v>
      </c>
      <c r="B470" t="s">
        <v>19</v>
      </c>
      <c r="C470" t="s">
        <v>8</v>
      </c>
      <c r="D470" s="3">
        <v>32</v>
      </c>
      <c r="E470" s="3">
        <v>86</v>
      </c>
      <c r="F470" s="3">
        <v>139</v>
      </c>
      <c r="G470" s="3">
        <v>9</v>
      </c>
      <c r="H470" s="17">
        <v>284837742.39999998</v>
      </c>
      <c r="I470" s="3">
        <v>39042</v>
      </c>
      <c r="J470" s="3">
        <v>0</v>
      </c>
      <c r="K470" s="10">
        <v>0</v>
      </c>
      <c r="L470" s="3">
        <v>63</v>
      </c>
      <c r="M470" s="3">
        <v>7</v>
      </c>
      <c r="N470" s="3">
        <v>0</v>
      </c>
      <c r="O470" s="3">
        <v>2</v>
      </c>
      <c r="P470" s="3">
        <v>46</v>
      </c>
      <c r="Q470" s="3">
        <v>12</v>
      </c>
    </row>
    <row r="471" spans="1:17" x14ac:dyDescent="0.35">
      <c r="A471">
        <v>2017</v>
      </c>
      <c r="B471" t="s">
        <v>19</v>
      </c>
      <c r="C471" t="s">
        <v>9</v>
      </c>
      <c r="D471" s="3">
        <v>1</v>
      </c>
      <c r="E471" s="3">
        <v>42</v>
      </c>
      <c r="F471" s="3">
        <v>42</v>
      </c>
      <c r="G471" s="3">
        <v>1</v>
      </c>
      <c r="H471" s="17">
        <v>39788000</v>
      </c>
      <c r="I471" s="3">
        <v>3410</v>
      </c>
      <c r="J471" s="3">
        <v>0</v>
      </c>
      <c r="K471" s="10">
        <v>0</v>
      </c>
      <c r="L471" s="3">
        <v>30</v>
      </c>
      <c r="M471" s="3">
        <v>0</v>
      </c>
      <c r="N471" s="3">
        <v>0</v>
      </c>
      <c r="O471" s="3">
        <v>0</v>
      </c>
      <c r="P471" s="3">
        <v>13</v>
      </c>
      <c r="Q471" s="3">
        <v>8</v>
      </c>
    </row>
    <row r="472" spans="1:17" x14ac:dyDescent="0.35">
      <c r="A472">
        <v>2017</v>
      </c>
      <c r="B472" t="s">
        <v>19</v>
      </c>
      <c r="C472" t="s">
        <v>10</v>
      </c>
      <c r="D472" s="3">
        <v>41</v>
      </c>
      <c r="E472" s="3">
        <v>155</v>
      </c>
      <c r="F472" s="3">
        <v>272</v>
      </c>
      <c r="G472" s="3">
        <v>17</v>
      </c>
      <c r="H472" s="17">
        <v>915042000</v>
      </c>
      <c r="I472" s="3">
        <v>98352</v>
      </c>
      <c r="J472" s="3">
        <v>2</v>
      </c>
      <c r="K472" s="10">
        <v>0</v>
      </c>
      <c r="L472" s="3">
        <v>115</v>
      </c>
      <c r="M472" s="3">
        <v>11</v>
      </c>
      <c r="N472" s="3">
        <v>2</v>
      </c>
      <c r="O472" s="3">
        <v>2</v>
      </c>
      <c r="P472" s="3">
        <v>64</v>
      </c>
      <c r="Q472" s="3">
        <v>19</v>
      </c>
    </row>
    <row r="473" spans="1:17" x14ac:dyDescent="0.35">
      <c r="A473">
        <v>2017</v>
      </c>
      <c r="B473" t="s">
        <v>19</v>
      </c>
      <c r="C473" t="s">
        <v>11</v>
      </c>
      <c r="D473" s="3">
        <v>17</v>
      </c>
      <c r="E473" s="3">
        <v>92</v>
      </c>
      <c r="F473" s="3">
        <v>139</v>
      </c>
      <c r="G473" s="3">
        <v>8</v>
      </c>
      <c r="H473" s="17">
        <v>172068918</v>
      </c>
      <c r="I473" s="3">
        <v>16263</v>
      </c>
      <c r="J473" s="3">
        <v>4</v>
      </c>
      <c r="K473" s="10">
        <v>0</v>
      </c>
      <c r="L473" s="3">
        <v>59</v>
      </c>
      <c r="M473" s="3">
        <v>10</v>
      </c>
      <c r="N473" s="3">
        <v>1</v>
      </c>
      <c r="O473" s="3">
        <v>1</v>
      </c>
      <c r="P473" s="3">
        <v>34</v>
      </c>
      <c r="Q473" s="3">
        <v>0</v>
      </c>
    </row>
    <row r="474" spans="1:17" x14ac:dyDescent="0.35">
      <c r="A474">
        <v>2017</v>
      </c>
      <c r="B474" t="s">
        <v>19</v>
      </c>
      <c r="C474" t="s">
        <v>12</v>
      </c>
      <c r="D474" s="3">
        <v>39</v>
      </c>
      <c r="E474" s="3">
        <v>61</v>
      </c>
      <c r="F474" s="3">
        <v>82</v>
      </c>
      <c r="G474" s="3">
        <v>8</v>
      </c>
      <c r="H474" s="17">
        <v>179962458.90000001</v>
      </c>
      <c r="I474" s="3">
        <v>18154.310000000001</v>
      </c>
      <c r="J474" s="3">
        <v>0</v>
      </c>
      <c r="K474" s="10">
        <v>0</v>
      </c>
      <c r="L474" s="3">
        <v>52</v>
      </c>
      <c r="M474" s="3">
        <v>22</v>
      </c>
      <c r="N474" s="3">
        <v>1</v>
      </c>
      <c r="O474" s="3">
        <v>1</v>
      </c>
      <c r="P474" s="3">
        <v>24</v>
      </c>
      <c r="Q474" s="3">
        <v>0</v>
      </c>
    </row>
    <row r="475" spans="1:17" x14ac:dyDescent="0.35">
      <c r="A475">
        <v>2017</v>
      </c>
      <c r="B475" t="s">
        <v>20</v>
      </c>
      <c r="C475" t="s">
        <v>8</v>
      </c>
      <c r="D475" s="3">
        <v>32</v>
      </c>
      <c r="E475" s="3">
        <v>88</v>
      </c>
      <c r="F475" s="3">
        <v>98</v>
      </c>
      <c r="G475" s="3">
        <v>12</v>
      </c>
      <c r="H475" s="17">
        <v>935976600</v>
      </c>
      <c r="I475" s="3">
        <v>87209</v>
      </c>
      <c r="J475" s="3">
        <v>0</v>
      </c>
      <c r="K475" s="10">
        <v>0</v>
      </c>
      <c r="L475" s="3">
        <v>62</v>
      </c>
      <c r="M475" s="3">
        <v>7</v>
      </c>
      <c r="N475" s="3">
        <v>0</v>
      </c>
      <c r="O475" s="3">
        <v>1</v>
      </c>
      <c r="P475" s="3">
        <v>50</v>
      </c>
      <c r="Q475" s="3">
        <v>7</v>
      </c>
    </row>
    <row r="476" spans="1:17" x14ac:dyDescent="0.35">
      <c r="A476">
        <v>2017</v>
      </c>
      <c r="B476" t="s">
        <v>20</v>
      </c>
      <c r="C476" t="s">
        <v>9</v>
      </c>
      <c r="D476" s="3">
        <v>1</v>
      </c>
      <c r="E476" s="3">
        <v>25</v>
      </c>
      <c r="F476" s="3">
        <v>39</v>
      </c>
      <c r="G476" s="3">
        <v>0</v>
      </c>
      <c r="H476" s="17">
        <v>23554600</v>
      </c>
      <c r="I476" s="3">
        <v>2037</v>
      </c>
      <c r="J476" s="3">
        <v>0</v>
      </c>
      <c r="K476" s="10">
        <v>0</v>
      </c>
      <c r="L476" s="3">
        <v>20</v>
      </c>
      <c r="M476" s="3">
        <v>0</v>
      </c>
      <c r="N476" s="3">
        <v>0</v>
      </c>
      <c r="O476" s="3">
        <v>0</v>
      </c>
      <c r="P476" s="3">
        <v>6</v>
      </c>
      <c r="Q476" s="3">
        <v>7</v>
      </c>
    </row>
    <row r="477" spans="1:17" x14ac:dyDescent="0.35">
      <c r="A477">
        <v>2017</v>
      </c>
      <c r="B477" t="s">
        <v>20</v>
      </c>
      <c r="C477" t="s">
        <v>10</v>
      </c>
      <c r="D477" s="3">
        <v>118</v>
      </c>
      <c r="E477" s="3">
        <v>88</v>
      </c>
      <c r="F477" s="3">
        <v>185</v>
      </c>
      <c r="G477" s="3">
        <v>9</v>
      </c>
      <c r="H477" s="17">
        <v>291732500</v>
      </c>
      <c r="I477" s="3">
        <v>27452</v>
      </c>
      <c r="J477" s="3">
        <v>2</v>
      </c>
      <c r="K477" s="10">
        <v>0</v>
      </c>
      <c r="L477" s="3">
        <v>116</v>
      </c>
      <c r="M477" s="3">
        <v>14</v>
      </c>
      <c r="N477" s="3">
        <v>2</v>
      </c>
      <c r="O477" s="3">
        <v>0</v>
      </c>
      <c r="P477" s="3">
        <v>54</v>
      </c>
      <c r="Q477" s="3">
        <v>9</v>
      </c>
    </row>
    <row r="478" spans="1:17" x14ac:dyDescent="0.35">
      <c r="A478">
        <v>2017</v>
      </c>
      <c r="B478" t="s">
        <v>20</v>
      </c>
      <c r="C478" t="s">
        <v>11</v>
      </c>
      <c r="D478" s="3">
        <v>17</v>
      </c>
      <c r="E478" s="3">
        <v>52</v>
      </c>
      <c r="F478" s="3">
        <v>47</v>
      </c>
      <c r="G478" s="3">
        <v>4</v>
      </c>
      <c r="H478" s="17">
        <v>92075900</v>
      </c>
      <c r="I478" s="3">
        <v>8212</v>
      </c>
      <c r="J478" s="3">
        <v>6</v>
      </c>
      <c r="K478" s="10">
        <v>0</v>
      </c>
      <c r="L478" s="3">
        <v>33</v>
      </c>
      <c r="M478" s="3">
        <v>5</v>
      </c>
      <c r="N478" s="3">
        <v>0</v>
      </c>
      <c r="O478" s="3">
        <v>0</v>
      </c>
      <c r="P478" s="3">
        <v>25</v>
      </c>
      <c r="Q478" s="3">
        <v>0</v>
      </c>
    </row>
    <row r="479" spans="1:17" x14ac:dyDescent="0.35">
      <c r="A479">
        <v>2017</v>
      </c>
      <c r="B479" t="s">
        <v>20</v>
      </c>
      <c r="C479" t="s">
        <v>12</v>
      </c>
      <c r="D479" s="3">
        <v>35</v>
      </c>
      <c r="E479" s="3">
        <v>49</v>
      </c>
      <c r="F479" s="3">
        <v>81</v>
      </c>
      <c r="G479" s="3">
        <v>6</v>
      </c>
      <c r="H479" s="17">
        <v>153735056</v>
      </c>
      <c r="I479" s="3">
        <v>12209.52</v>
      </c>
      <c r="J479" s="3">
        <v>4</v>
      </c>
      <c r="K479" s="10">
        <v>0</v>
      </c>
      <c r="L479" s="3">
        <v>36</v>
      </c>
      <c r="M479" s="3">
        <v>23</v>
      </c>
      <c r="N479" s="3">
        <v>0</v>
      </c>
      <c r="O479" s="3">
        <v>0</v>
      </c>
      <c r="P479" s="3">
        <v>21</v>
      </c>
      <c r="Q479" s="3">
        <v>0</v>
      </c>
    </row>
    <row r="480" spans="1:17" x14ac:dyDescent="0.35">
      <c r="B480" t="s">
        <v>21</v>
      </c>
      <c r="C480" t="s">
        <v>8</v>
      </c>
      <c r="D480" s="3">
        <v>9</v>
      </c>
      <c r="E480" s="3">
        <v>58</v>
      </c>
      <c r="F480" s="3">
        <v>118</v>
      </c>
      <c r="G480" s="3">
        <v>1</v>
      </c>
      <c r="H480" s="17">
        <v>50572000</v>
      </c>
      <c r="I480" s="3">
        <v>4183</v>
      </c>
      <c r="J480" s="3">
        <v>2</v>
      </c>
      <c r="K480" s="10">
        <v>0</v>
      </c>
      <c r="L480" s="3">
        <v>37</v>
      </c>
      <c r="M480" s="3">
        <v>0</v>
      </c>
      <c r="N480" s="3">
        <v>0</v>
      </c>
      <c r="O480" s="3">
        <v>0</v>
      </c>
      <c r="P480" s="3">
        <v>28</v>
      </c>
      <c r="Q480" s="3"/>
    </row>
    <row r="481" spans="2:17" x14ac:dyDescent="0.35">
      <c r="B481" t="s">
        <v>21</v>
      </c>
      <c r="C481" t="s">
        <v>9</v>
      </c>
      <c r="D481" s="3">
        <v>0</v>
      </c>
      <c r="E481" s="3">
        <v>34</v>
      </c>
      <c r="F481" s="3">
        <v>43</v>
      </c>
      <c r="G481" s="3">
        <v>1</v>
      </c>
      <c r="H481" s="17">
        <v>50340700</v>
      </c>
      <c r="I481" s="3">
        <v>6033</v>
      </c>
      <c r="J481" s="3">
        <v>1</v>
      </c>
      <c r="K481" s="10">
        <v>0</v>
      </c>
      <c r="L481" s="3">
        <v>28</v>
      </c>
      <c r="M481" s="3">
        <v>0</v>
      </c>
      <c r="N481" s="3">
        <v>0</v>
      </c>
      <c r="O481" s="3">
        <v>1</v>
      </c>
      <c r="P481" s="3">
        <v>4</v>
      </c>
      <c r="Q481"/>
    </row>
    <row r="482" spans="2:17" x14ac:dyDescent="0.35">
      <c r="B482" t="s">
        <v>21</v>
      </c>
      <c r="C482" t="s">
        <v>10</v>
      </c>
      <c r="D482" s="3">
        <v>24</v>
      </c>
      <c r="E482" s="3">
        <v>101</v>
      </c>
      <c r="F482" s="3">
        <v>196</v>
      </c>
      <c r="G482" s="3">
        <v>3</v>
      </c>
      <c r="H482" s="17">
        <v>128840600</v>
      </c>
      <c r="I482" s="3">
        <v>11480</v>
      </c>
      <c r="J482" s="3">
        <v>3</v>
      </c>
      <c r="K482" s="10">
        <v>0</v>
      </c>
      <c r="L482" s="3">
        <v>76</v>
      </c>
      <c r="M482" s="3">
        <v>8</v>
      </c>
      <c r="N482" s="3">
        <v>0</v>
      </c>
      <c r="O482" s="3">
        <v>0</v>
      </c>
      <c r="P482" s="3">
        <v>38</v>
      </c>
    </row>
    <row r="483" spans="2:17" x14ac:dyDescent="0.35">
      <c r="B483" t="s">
        <v>21</v>
      </c>
      <c r="C483" t="s">
        <v>11</v>
      </c>
      <c r="D483" s="3">
        <v>7</v>
      </c>
      <c r="E483" s="3">
        <v>50</v>
      </c>
      <c r="F483" s="3">
        <v>109</v>
      </c>
      <c r="G483" s="3">
        <v>1</v>
      </c>
      <c r="H483" s="17">
        <v>64271600</v>
      </c>
      <c r="I483" s="3">
        <v>5837</v>
      </c>
      <c r="J483" s="3">
        <v>2</v>
      </c>
      <c r="K483" s="10">
        <v>0</v>
      </c>
      <c r="L483" s="3">
        <v>34</v>
      </c>
      <c r="M483" s="3">
        <v>5</v>
      </c>
      <c r="N483" s="3">
        <v>0</v>
      </c>
      <c r="O483" s="3">
        <v>0</v>
      </c>
      <c r="P483" s="3">
        <v>16</v>
      </c>
    </row>
    <row r="484" spans="2:17" x14ac:dyDescent="0.35">
      <c r="B484" t="s">
        <v>21</v>
      </c>
      <c r="C484" t="s">
        <v>12</v>
      </c>
      <c r="D484" s="3">
        <v>31</v>
      </c>
      <c r="E484" s="3">
        <v>75</v>
      </c>
      <c r="F484" s="3">
        <v>100</v>
      </c>
      <c r="G484" s="3">
        <v>9</v>
      </c>
      <c r="H484" s="17">
        <v>221944194.40000001</v>
      </c>
      <c r="I484" s="3">
        <v>22566.400000000001</v>
      </c>
      <c r="J484" s="3">
        <v>6</v>
      </c>
      <c r="K484" s="10">
        <v>0</v>
      </c>
      <c r="L484" s="3">
        <v>48</v>
      </c>
      <c r="M484" s="3">
        <v>26</v>
      </c>
      <c r="N484" s="3">
        <v>0</v>
      </c>
      <c r="O484" s="3">
        <v>1</v>
      </c>
      <c r="P484" s="3">
        <v>25</v>
      </c>
    </row>
    <row r="485" spans="2:17" x14ac:dyDescent="0.35">
      <c r="B485" t="s">
        <v>7</v>
      </c>
      <c r="C485" t="s">
        <v>8</v>
      </c>
      <c r="D485" s="3"/>
      <c r="E485" s="3"/>
      <c r="F485" s="3"/>
      <c r="G485" s="3"/>
      <c r="I485" s="3"/>
      <c r="J485" s="3"/>
      <c r="K485" s="3"/>
      <c r="L485" s="3"/>
      <c r="M485" s="3"/>
      <c r="N485" s="3"/>
      <c r="O485" s="3"/>
      <c r="P485" s="3"/>
    </row>
    <row r="486" spans="2:17" x14ac:dyDescent="0.35">
      <c r="B486" t="s">
        <v>7</v>
      </c>
      <c r="C486" t="s">
        <v>9</v>
      </c>
    </row>
    <row r="487" spans="2:17" x14ac:dyDescent="0.35">
      <c r="B487" t="s">
        <v>7</v>
      </c>
      <c r="C487" t="s">
        <v>10</v>
      </c>
    </row>
    <row r="488" spans="2:17" x14ac:dyDescent="0.35">
      <c r="B488" t="s">
        <v>7</v>
      </c>
      <c r="C488" t="s">
        <v>11</v>
      </c>
    </row>
    <row r="489" spans="2:17" x14ac:dyDescent="0.35">
      <c r="B489" t="s">
        <v>7</v>
      </c>
      <c r="C489" t="s">
        <v>12</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A028FAD6-7788-4E63-AE38-92A897F1CBCE}">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Thembi</dc:creator>
  <cp:lastModifiedBy>Siphesihle Thusi</cp:lastModifiedBy>
  <cp:lastPrinted>2019-12-05T08:34:22Z</cp:lastPrinted>
  <dcterms:created xsi:type="dcterms:W3CDTF">2018-11-02T07:23:26Z</dcterms:created>
  <dcterms:modified xsi:type="dcterms:W3CDTF">2025-04-04T08:59:56Z</dcterms:modified>
</cp:coreProperties>
</file>